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76" windowWidth="15360" windowHeight="8205" activeTab="0"/>
  </bookViews>
  <sheets>
    <sheet name="график_сводные" sheetId="1" r:id="rId1"/>
    <sheet name="ПРОЕКТ ПЛАНА ДЛЯ РАССМ" sheetId="2" r:id="rId2"/>
    <sheet name="практика" sheetId="3" r:id="rId3"/>
    <sheet name="Компетенции" sheetId="4" r:id="rId4"/>
    <sheet name="примечание" sheetId="5" r:id="rId5"/>
  </sheets>
  <definedNames>
    <definedName name="_xlfn.COUNTIFS" hidden="1">#NAME?</definedName>
    <definedName name="_xlnm.Print_Titles" localSheetId="3">'Компетенции'!$2:$2</definedName>
    <definedName name="_xlnm.Print_Titles" localSheetId="1">'ПРОЕКТ ПЛАНА ДЛЯ РАССМ'!$5:$9</definedName>
    <definedName name="_xlnm.Print_Area" localSheetId="0">'график_сводные'!$A$1:$BH$24</definedName>
    <definedName name="_xlnm.Print_Area" localSheetId="3">'Компетенции'!$A$1:$F$89</definedName>
    <definedName name="_xlnm.Print_Area" localSheetId="2">'практика'!$A$1:$U$7</definedName>
    <definedName name="_xlnm.Print_Area" localSheetId="4">'примечание'!$A$1:$Y$32</definedName>
    <definedName name="_xlnm.Print_Area" localSheetId="1">'ПРОЕКТ ПЛАНА ДЛЯ РАССМ'!$B$1:$BU$148</definedName>
  </definedNames>
  <calcPr fullCalcOnLoad="1"/>
</workbook>
</file>

<file path=xl/sharedStrings.xml><?xml version="1.0" encoding="utf-8"?>
<sst xmlns="http://schemas.openxmlformats.org/spreadsheetml/2006/main" count="1269" uniqueCount="692">
  <si>
    <t>УТВЕРЖДАЮ</t>
  </si>
  <si>
    <t xml:space="preserve">Типовой учебный план </t>
  </si>
  <si>
    <t>декабрь</t>
  </si>
  <si>
    <t>январь</t>
  </si>
  <si>
    <t>февраль</t>
  </si>
  <si>
    <t>август</t>
  </si>
  <si>
    <t>Теоретическое обучение</t>
  </si>
  <si>
    <t>Каникулы</t>
  </si>
  <si>
    <t>:</t>
  </si>
  <si>
    <t>═</t>
  </si>
  <si>
    <t>Х</t>
  </si>
  <si>
    <t>//</t>
  </si>
  <si>
    <t>Обозначения:</t>
  </si>
  <si>
    <t>теоретическое обучение</t>
  </si>
  <si>
    <t>экзаменационная сессия</t>
  </si>
  <si>
    <t>каникулы</t>
  </si>
  <si>
    <t>Регистрационный № ________________</t>
  </si>
  <si>
    <t>I</t>
  </si>
  <si>
    <t>II</t>
  </si>
  <si>
    <t>III</t>
  </si>
  <si>
    <t>IV</t>
  </si>
  <si>
    <t>V</t>
  </si>
  <si>
    <t>VI</t>
  </si>
  <si>
    <t xml:space="preserve">      </t>
  </si>
  <si>
    <t>октябрь</t>
  </si>
  <si>
    <t>сентябрь</t>
  </si>
  <si>
    <t>ноябрь</t>
  </si>
  <si>
    <t>март</t>
  </si>
  <si>
    <t>апрель</t>
  </si>
  <si>
    <t>май</t>
  </si>
  <si>
    <t>июнь</t>
  </si>
  <si>
    <t>июль</t>
  </si>
  <si>
    <t>К
У
Р
С
Ы</t>
  </si>
  <si>
    <t>Экзаменационные сессии</t>
  </si>
  <si>
    <t>Производственные практики</t>
  </si>
  <si>
    <t>Итоговая аттестация</t>
  </si>
  <si>
    <t>Всего</t>
  </si>
  <si>
    <t>учебная практика</t>
  </si>
  <si>
    <t>—</t>
  </si>
  <si>
    <t>III. План образовательного процесса</t>
  </si>
  <si>
    <t>Экзамены</t>
  </si>
  <si>
    <t>Зачеты</t>
  </si>
  <si>
    <t>Аудиторных</t>
  </si>
  <si>
    <t>Из них</t>
  </si>
  <si>
    <t>лекции</t>
  </si>
  <si>
    <t>Распределение по курсам и семестрам</t>
  </si>
  <si>
    <t>I курс</t>
  </si>
  <si>
    <t>II курс</t>
  </si>
  <si>
    <t>III курс</t>
  </si>
  <si>
    <t>VI курс</t>
  </si>
  <si>
    <t>IV курс</t>
  </si>
  <si>
    <t>Всего зачетных единиц</t>
  </si>
  <si>
    <t>Всего часов</t>
  </si>
  <si>
    <t>Ауд. часов</t>
  </si>
  <si>
    <t>Зач. единиц</t>
  </si>
  <si>
    <t>Государственный компонент</t>
  </si>
  <si>
    <t>Философия</t>
  </si>
  <si>
    <t>Экономическая теория</t>
  </si>
  <si>
    <t>практ. (лаб., семинары)</t>
  </si>
  <si>
    <t>Компонент учреждения высшего образования</t>
  </si>
  <si>
    <t>2.</t>
  </si>
  <si>
    <t>Медицинская биология и общая генетика</t>
  </si>
  <si>
    <t>Биоорганическая химия</t>
  </si>
  <si>
    <t>Биологическая химия</t>
  </si>
  <si>
    <t>Латинский язык</t>
  </si>
  <si>
    <t>Иностранный язык</t>
  </si>
  <si>
    <t>Анатомия человека</t>
  </si>
  <si>
    <t>Гистология, цитология, эмбриология</t>
  </si>
  <si>
    <t>1, 2</t>
  </si>
  <si>
    <t>Нормальная физиология</t>
  </si>
  <si>
    <t>Патологическая анатомия</t>
  </si>
  <si>
    <t>Радиационная и экологическая медицина</t>
  </si>
  <si>
    <t>Пропедевтика внутренних болезней</t>
  </si>
  <si>
    <t>Общая хирургия</t>
  </si>
  <si>
    <t>Лучевая диагностика и лучевая терапия</t>
  </si>
  <si>
    <t>Фармакология</t>
  </si>
  <si>
    <t>Судебная медицина</t>
  </si>
  <si>
    <t>Анестезиология и реаниматология</t>
  </si>
  <si>
    <t>Оториноларингология</t>
  </si>
  <si>
    <t>Дерматовенерология</t>
  </si>
  <si>
    <t>Неврология и нейрохирургия</t>
  </si>
  <si>
    <t>Фтизиопульмонология</t>
  </si>
  <si>
    <t>Педиатрия</t>
  </si>
  <si>
    <t>Количество часов учебных занятий</t>
  </si>
  <si>
    <t>Количество часов учебных занятий в неделю</t>
  </si>
  <si>
    <t>Количество экзаменов</t>
  </si>
  <si>
    <t>Количество зачетов</t>
  </si>
  <si>
    <t>Количество общих часов учебных занятий в неделю</t>
  </si>
  <si>
    <t>Хирургические болезни</t>
  </si>
  <si>
    <t>Акушерство и гинекология</t>
  </si>
  <si>
    <t>Офтальмология</t>
  </si>
  <si>
    <t>Общественное здоровье и здравоохранение</t>
  </si>
  <si>
    <t>Профессиональные болезни</t>
  </si>
  <si>
    <t>Онкология</t>
  </si>
  <si>
    <t>Детская хирургия</t>
  </si>
  <si>
    <t>Эндокринология</t>
  </si>
  <si>
    <t>Физическая культура</t>
  </si>
  <si>
    <t>/80</t>
  </si>
  <si>
    <t>/72</t>
  </si>
  <si>
    <t>/76</t>
  </si>
  <si>
    <t>Семестр</t>
  </si>
  <si>
    <t>Название практики</t>
  </si>
  <si>
    <t>Недель</t>
  </si>
  <si>
    <t>Зачетных единиц</t>
  </si>
  <si>
    <t>/64</t>
  </si>
  <si>
    <t>V курс</t>
  </si>
  <si>
    <t>История медицины</t>
  </si>
  <si>
    <t>VII. Дипломное проектирование</t>
  </si>
  <si>
    <t>/3-6</t>
  </si>
  <si>
    <t>/270</t>
  </si>
  <si>
    <t>/175</t>
  </si>
  <si>
    <t>/70</t>
  </si>
  <si>
    <t>/105</t>
  </si>
  <si>
    <t>/50</t>
  </si>
  <si>
    <t>/45</t>
  </si>
  <si>
    <t>/48</t>
  </si>
  <si>
    <t>/30</t>
  </si>
  <si>
    <t>Лекции</t>
  </si>
  <si>
    <t>Основы управления интеллектуальной собственностью</t>
  </si>
  <si>
    <t xml:space="preserve">производственная практика </t>
  </si>
  <si>
    <t>итоговая аттестация</t>
  </si>
  <si>
    <t>Учебные практики</t>
  </si>
  <si>
    <t>Количество академических часов</t>
  </si>
  <si>
    <t>Дополнительные виды обучения</t>
  </si>
  <si>
    <t>7д</t>
  </si>
  <si>
    <t>=</t>
  </si>
  <si>
    <t>Патологическая физиология</t>
  </si>
  <si>
    <t>IV. Учебные практики</t>
  </si>
  <si>
    <t>V. Производственные практики</t>
  </si>
  <si>
    <t>VI. Итоговая аттестация</t>
  </si>
  <si>
    <t>I. График образовательного процесса</t>
  </si>
  <si>
    <t xml:space="preserve">Лабораторные </t>
  </si>
  <si>
    <t xml:space="preserve">Практические </t>
  </si>
  <si>
    <t>Семинарские</t>
  </si>
  <si>
    <t>История белорусской государственности</t>
  </si>
  <si>
    <t>/38</t>
  </si>
  <si>
    <t>/32</t>
  </si>
  <si>
    <t>Факультативные дисциплины</t>
  </si>
  <si>
    <t>Медицинский уход и манипуляционная техника</t>
  </si>
  <si>
    <t>2. Медсестринская</t>
  </si>
  <si>
    <t>1. Медсестринская с манипуляционной техникой</t>
  </si>
  <si>
    <t>3. Врачебная клиническая</t>
  </si>
  <si>
    <t>/34</t>
  </si>
  <si>
    <t>1, 2д</t>
  </si>
  <si>
    <t>/1</t>
  </si>
  <si>
    <t>1.1.1</t>
  </si>
  <si>
    <t>1.1.2</t>
  </si>
  <si>
    <t>1.1.3</t>
  </si>
  <si>
    <t>1.1</t>
  </si>
  <si>
    <t>1.2</t>
  </si>
  <si>
    <t>Естественно-научный модуль</t>
  </si>
  <si>
    <t>1.3</t>
  </si>
  <si>
    <t>Лингвистический модуль</t>
  </si>
  <si>
    <t>1.3.1</t>
  </si>
  <si>
    <t>1.4</t>
  </si>
  <si>
    <t>1.4.1</t>
  </si>
  <si>
    <t>1д</t>
  </si>
  <si>
    <t>1.5</t>
  </si>
  <si>
    <t>1.6</t>
  </si>
  <si>
    <t>1.4.2</t>
  </si>
  <si>
    <t>2.1</t>
  </si>
  <si>
    <t>2.2</t>
  </si>
  <si>
    <t>1.5.1</t>
  </si>
  <si>
    <t>1.5.2</t>
  </si>
  <si>
    <t>1.6.1</t>
  </si>
  <si>
    <t>1.6.2</t>
  </si>
  <si>
    <t>Информатика в медицине</t>
  </si>
  <si>
    <t>2.4</t>
  </si>
  <si>
    <t>2.5</t>
  </si>
  <si>
    <t>Медико-профилактический модуль 1</t>
  </si>
  <si>
    <t>Медико-профилактический модуль 2</t>
  </si>
  <si>
    <t>Модуль "Медицинский уход"</t>
  </si>
  <si>
    <t>Военно-медицинский модуль</t>
  </si>
  <si>
    <t>/3</t>
  </si>
  <si>
    <t>/60</t>
  </si>
  <si>
    <t>/36</t>
  </si>
  <si>
    <t>/20</t>
  </si>
  <si>
    <t>/25</t>
  </si>
  <si>
    <t>/10</t>
  </si>
  <si>
    <t>/18</t>
  </si>
  <si>
    <t>8, 10</t>
  </si>
  <si>
    <t>/54</t>
  </si>
  <si>
    <t>/2</t>
  </si>
  <si>
    <t>Специальная военная подготовка</t>
  </si>
  <si>
    <t>1.7</t>
  </si>
  <si>
    <t>1.8</t>
  </si>
  <si>
    <t>1.9</t>
  </si>
  <si>
    <t>1.10</t>
  </si>
  <si>
    <t>1.11</t>
  </si>
  <si>
    <t>Акушерско-гинекологический модуль</t>
  </si>
  <si>
    <t>Первая помощь. Основы ухода за пациентами</t>
  </si>
  <si>
    <t>1.3.2</t>
  </si>
  <si>
    <t>2.3</t>
  </si>
  <si>
    <t>Морфологический модуль</t>
  </si>
  <si>
    <t>Педиатрический модуль</t>
  </si>
  <si>
    <t>Биомедицинская статистика</t>
  </si>
  <si>
    <t>Медицина катастроф</t>
  </si>
  <si>
    <t>Химический модуль</t>
  </si>
  <si>
    <t>ЗЕ</t>
  </si>
  <si>
    <t>Код компетенции</t>
  </si>
  <si>
    <t>1.7.1</t>
  </si>
  <si>
    <t>1.9.1</t>
  </si>
  <si>
    <t>1.9.2</t>
  </si>
  <si>
    <t>1.10.1</t>
  </si>
  <si>
    <t>1.11.1</t>
  </si>
  <si>
    <t>2.1.2</t>
  </si>
  <si>
    <t>2.2.1</t>
  </si>
  <si>
    <t>2.2.2</t>
  </si>
  <si>
    <t>2.3.1</t>
  </si>
  <si>
    <t>2.4.1</t>
  </si>
  <si>
    <t>2.4.2</t>
  </si>
  <si>
    <t>2.5.1</t>
  </si>
  <si>
    <t>Микробиология, вирусология, иммунология</t>
  </si>
  <si>
    <t>/8</t>
  </si>
  <si>
    <t>1. Психиатрия и наркология</t>
  </si>
  <si>
    <t>3. Общественное здоровье и здравоохранение</t>
  </si>
  <si>
    <t>История психологии</t>
  </si>
  <si>
    <t>Модуль «Общие вопросы в психиатрии»</t>
  </si>
  <si>
    <t>Общая психопатология</t>
  </si>
  <si>
    <t>6д</t>
  </si>
  <si>
    <t>Клиническая фармакология в психиатрии</t>
  </si>
  <si>
    <t>Модуль «Неврология и нейрохирургия»</t>
  </si>
  <si>
    <t>Нейропсихология</t>
  </si>
  <si>
    <t>Модуль фундаментальной психологии</t>
  </si>
  <si>
    <t>Общая психология</t>
  </si>
  <si>
    <t>Психология личности</t>
  </si>
  <si>
    <t>Возрастная психология</t>
  </si>
  <si>
    <t>Модуль социальной психологии</t>
  </si>
  <si>
    <t>Психология семейных отношений</t>
  </si>
  <si>
    <t>Социальная психология</t>
  </si>
  <si>
    <t>Модуль практической психологии</t>
  </si>
  <si>
    <t>Психология индивидуальных различий</t>
  </si>
  <si>
    <t>Общая психодиагностика</t>
  </si>
  <si>
    <t>Курсовая работа по учебной дисциплине «Общая психодиагностика»</t>
  </si>
  <si>
    <t>Модуль «Основы медицинской психологии и психотерапии»</t>
  </si>
  <si>
    <t>Основы медицинской психологии и психотерапии</t>
  </si>
  <si>
    <t>Детская психотерапия</t>
  </si>
  <si>
    <t>Направления и методы психотерапии</t>
  </si>
  <si>
    <t>Модуль «Клиническая психотерапия»</t>
  </si>
  <si>
    <t>Клиническая психотерапия</t>
  </si>
  <si>
    <t>Модуль «Клиническая психодиагностика»</t>
  </si>
  <si>
    <t>Клиническая психодиагностика</t>
  </si>
  <si>
    <t>Курсовая работа по учебной дисциплине «Клиническая психодиагностика»</t>
  </si>
  <si>
    <t xml:space="preserve">Оперативная хирургия </t>
  </si>
  <si>
    <t>Травматология и ортопедия, военно-полевая хирургия</t>
  </si>
  <si>
    <t>8, 9</t>
  </si>
  <si>
    <t>Медицинская генетика</t>
  </si>
  <si>
    <t>Инфекционные болезни с эпидемиологией, военная эпидемиология</t>
  </si>
  <si>
    <t>Модуль "Психиатрия и наркология"</t>
  </si>
  <si>
    <t>7, 8</t>
  </si>
  <si>
    <t>Общая гигиена и военная гигиена</t>
  </si>
  <si>
    <t>5д</t>
  </si>
  <si>
    <t>1.2.1</t>
  </si>
  <si>
    <t>2.5.2</t>
  </si>
  <si>
    <t>2.6</t>
  </si>
  <si>
    <t>2.6.1</t>
  </si>
  <si>
    <t>1.8.1</t>
  </si>
  <si>
    <t>1.10.2</t>
  </si>
  <si>
    <t>2.1.1</t>
  </si>
  <si>
    <t>2.3.2</t>
  </si>
  <si>
    <t>2.6.2</t>
  </si>
  <si>
    <t>2.7</t>
  </si>
  <si>
    <t>2.7.1</t>
  </si>
  <si>
    <t>2.7.2</t>
  </si>
  <si>
    <t>2.7.3</t>
  </si>
  <si>
    <t>2.8</t>
  </si>
  <si>
    <t>2.8.1</t>
  </si>
  <si>
    <t>2.9</t>
  </si>
  <si>
    <t>2.9.1</t>
  </si>
  <si>
    <t>2.10</t>
  </si>
  <si>
    <t>2.10.1</t>
  </si>
  <si>
    <t>2.11</t>
  </si>
  <si>
    <t>2.11.1</t>
  </si>
  <si>
    <t>2.11.2</t>
  </si>
  <si>
    <t>2.12</t>
  </si>
  <si>
    <t>2.12.1</t>
  </si>
  <si>
    <t>2.12.2</t>
  </si>
  <si>
    <t>2.13</t>
  </si>
  <si>
    <t>2.13.1</t>
  </si>
  <si>
    <t>2.14</t>
  </si>
  <si>
    <t>2.14.1</t>
  </si>
  <si>
    <t>2.14.2</t>
  </si>
  <si>
    <t>2.15</t>
  </si>
  <si>
    <t>2.15.1</t>
  </si>
  <si>
    <t>2.15.2</t>
  </si>
  <si>
    <t>2.16</t>
  </si>
  <si>
    <t>2.16.1</t>
  </si>
  <si>
    <t>2.16.2</t>
  </si>
  <si>
    <t>2.17</t>
  </si>
  <si>
    <t>2.17.1</t>
  </si>
  <si>
    <t>2.17.2</t>
  </si>
  <si>
    <t>2.18</t>
  </si>
  <si>
    <t>2.18.1</t>
  </si>
  <si>
    <t>2.18.2</t>
  </si>
  <si>
    <t>2.19</t>
  </si>
  <si>
    <t>2.19.1</t>
  </si>
  <si>
    <t>2.19.2</t>
  </si>
  <si>
    <t>2.20</t>
  </si>
  <si>
    <t>2.20.1</t>
  </si>
  <si>
    <t>2.21</t>
  </si>
  <si>
    <t>2.21.1</t>
  </si>
  <si>
    <t>2.23</t>
  </si>
  <si>
    <t>2.23.1</t>
  </si>
  <si>
    <t>2.23.2</t>
  </si>
  <si>
    <t>VIII. Матрица компетенций</t>
  </si>
  <si>
    <t>Наименование компетенции</t>
  </si>
  <si>
    <t>Код модуля, учебной дисциплины</t>
  </si>
  <si>
    <t>УК-1</t>
  </si>
  <si>
    <t>УК-2</t>
  </si>
  <si>
    <t>УК-3</t>
  </si>
  <si>
    <t>УК-5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</si>
  <si>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</si>
  <si>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</si>
  <si>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</si>
  <si>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</si>
  <si>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</si>
  <si>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</si>
  <si>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</si>
  <si>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</si>
  <si>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</si>
  <si>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</si>
  <si>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БПК-12</t>
  </si>
  <si>
    <t>БПК-13</t>
  </si>
  <si>
    <t>СК-10</t>
  </si>
  <si>
    <t>СК-11</t>
  </si>
  <si>
    <t>СК-12</t>
  </si>
  <si>
    <t>4. Психиатрическая</t>
  </si>
  <si>
    <t>Количество курсовых работ</t>
  </si>
  <si>
    <t>Название  модуля, учебной дисциплины, курсовой работы</t>
  </si>
  <si>
    <t>максимальное возможное кол-во часов в семестре</t>
  </si>
  <si>
    <t>общее кол-во часов +факульт+доп.виды</t>
  </si>
  <si>
    <t>Наркология</t>
  </si>
  <si>
    <t>Психические и поведенческие расстройства</t>
  </si>
  <si>
    <t>Фармакотерапия психических и поведенческих расстройств</t>
  </si>
  <si>
    <t>Модуль «Фармакотерапия в психиатрии»</t>
  </si>
  <si>
    <t>Менеджмент и маркетинг в здравоохранении</t>
  </si>
  <si>
    <t>Супервизия в психотерапии</t>
  </si>
  <si>
    <t>Медицинское право</t>
  </si>
  <si>
    <t>1.7.2</t>
  </si>
  <si>
    <t>Медицинская химия</t>
  </si>
  <si>
    <t>Внутренние болезни и военно-полевая терапия</t>
  </si>
  <si>
    <t>2.11.3</t>
  </si>
  <si>
    <t xml:space="preserve">2. Клиническая психология и психотерапия                        </t>
  </si>
  <si>
    <t>1.12</t>
  </si>
  <si>
    <t>1.12.1</t>
  </si>
  <si>
    <t>Модуль «Информационные технологии в здравоохранении»</t>
  </si>
  <si>
    <t>Первая помощь</t>
  </si>
  <si>
    <t>Медицинская реабилитация и физиотерапия</t>
  </si>
  <si>
    <t>УК-4</t>
  </si>
  <si>
    <t>УК-6</t>
  </si>
  <si>
    <t>УК-10</t>
  </si>
  <si>
    <t>УК-11</t>
  </si>
  <si>
    <t>УК-12</t>
  </si>
  <si>
    <t>Биохимический модуль</t>
  </si>
  <si>
    <t>Медико-биологический модуль</t>
  </si>
  <si>
    <t>Медико-профилактический модуль</t>
  </si>
  <si>
    <t>Экологический модуль</t>
  </si>
  <si>
    <t>Базовый терапевтический модуль</t>
  </si>
  <si>
    <t>Терапевтический модуль</t>
  </si>
  <si>
    <t>Модуль общей хирургии</t>
  </si>
  <si>
    <t>Модуль факультетской хирургии</t>
  </si>
  <si>
    <t>Модуль госпитальной хирургии</t>
  </si>
  <si>
    <t>Клинико-диагностический модуль</t>
  </si>
  <si>
    <t>БПК-11</t>
  </si>
  <si>
    <t>БПК-14</t>
  </si>
  <si>
    <t>БПК-15</t>
  </si>
  <si>
    <t>БПК-16</t>
  </si>
  <si>
    <t>БПК-17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</si>
  <si>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</si>
  <si>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</si>
  <si>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</si>
  <si>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</si>
  <si>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</si>
  <si>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</si>
  <si>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</si>
  <si>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</si>
  <si>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СК-13</t>
  </si>
  <si>
    <t>2.19.3</t>
  </si>
  <si>
    <t>СК-14</t>
  </si>
  <si>
    <t>СК-15</t>
  </si>
  <si>
    <t>СК-16</t>
  </si>
  <si>
    <t>2.21.2</t>
  </si>
  <si>
    <t>СК-17</t>
  </si>
  <si>
    <t>СК-18</t>
  </si>
  <si>
    <t>СК-19</t>
  </si>
  <si>
    <t>СК-20</t>
  </si>
  <si>
    <t>СК-21</t>
  </si>
  <si>
    <t>СК-9</t>
  </si>
  <si>
    <t>УК-7</t>
  </si>
  <si>
    <t>УК-8</t>
  </si>
  <si>
    <t>УК-9</t>
  </si>
  <si>
    <t xml:space="preserve">Работать с оптическими приборами, составлять родословную человека, решать задачи по молекулярной биологии, общей и медицинской генетике, паразитологии, распознавать возбудителей  паразитарных заболеваний и их переносчиков на макро- и микропрепаратах </t>
  </si>
  <si>
    <t xml:space="preserve">Использовать знания о строении организма человека на тканевом, клеточном и субклеточном уровнях, эмбриогенезе человека и его нарушениях; дифференцировать структурные элементы тканей и органов в норме при микроскопическом исследовании </t>
  </si>
  <si>
    <t>Применять знания о молекулярных основах процессов жизнедеятельности в организме человека в норме и при патологии, применять принципы биохимических методов диагностики заболеваний, основных методов биохимических исследований</t>
  </si>
  <si>
    <t>Оценивать показатели физиологического состояния здорового и больного человека на основе знаний о закономерностях функционирования и регуляции жизнедеятельности целостного организма человека, его органов и систем</t>
  </si>
  <si>
    <t xml:space="preserve">Использовать знания об этиологии и патогенезе общепатологических процессов, типовых форм патологии органов и систем организма человека при проведении патофизиологического анализа данных лабораторных исследований </t>
  </si>
  <si>
    <t>Использовать знания об этиологии, патогенезе, морфологических особенностях общепатологических процессов и болезней на разных этапах их развития, причинах и механизмах умирания (танатогенез),  интерпретировать результаты патологоанатомических методов исследования секционного, биопсийного и операционного материала, применять методы клинико-анатомического анализа и построения клинического и патологоанатомического диагнозов</t>
  </si>
  <si>
    <t>Использовать знания о фармакологических свойствах лекарственных средств, владеть принципами выбора рациональной фармакотерапии при заболеваниях и патологических состояниях организма человека и с профилактической целью</t>
  </si>
  <si>
    <t>Использовать знания о современных химических и физико-химических методах анализа биологических жидкостей, растворов лекарственных веществ и биополимеров для произведения расчетов на основании проведенных исследований</t>
  </si>
  <si>
    <t>Оценивать свойства природных и синтетических органических соединений, потенциально опасных для организма человека веществ, прогнозировать их поведение в биологических средах</t>
  </si>
  <si>
    <t xml:space="preserve">Оценивать теории медицины на современном этапе на основе знаний о развитии способов и методов организации и оказания медицинской помощи </t>
  </si>
  <si>
    <t>Использовать знания о рисках развития и патогенетических механизмах формирования  радиационно и экологически обусловленной патологии, применять методы индивидуальной и популяционной профилактики заболеваний и патологических состояний, обусловленных хроническим низкодозовым физико-химическим и биологическим воздействием</t>
  </si>
  <si>
    <t>Оказывать первую помощь при несчастных случаях, травмах, кровотечениях, отравлениях и других состояниях, угрожающих жизни и здоровью человека</t>
  </si>
  <si>
    <t>Осуществлять медицинский уход за пациентами; выполнять сестринские лечебные и диагностические манипуляции; применять методы организации сбора медицинских отходов, стерилизации медицинских изделий</t>
  </si>
  <si>
    <t>Проводить клиническое обследование пациентов на основе знаний о семиотике поражения органов и систем организма взрослого человека</t>
  </si>
  <si>
    <t>Использовать знания о клинической симптоматике кожных заболеваний и инфекций, передаваемых половым путем, владеть методами обследования пациентов в возрастном аспекте, методами диагностики, принципами лечения, медицинской реабилитации и профилактики при дерматовенерологических заболеваниях</t>
  </si>
  <si>
    <t>Использовать знания о клинической симптоматике, методах диагностики и оказания медицинской помощи для профилактики туберкулеза и болезней органов дыхания</t>
  </si>
  <si>
    <t xml:space="preserve">Осуществлять выбор наиболее эффективных методов медицинской реабилитации и физиотерапевтического воздействия </t>
  </si>
  <si>
    <t>Выявлять основные профессиональные заболевания</t>
  </si>
  <si>
    <t>Применять методы диагностики, принципы лечения и профилактики эндокринных заболеваний</t>
  </si>
  <si>
    <t>Применять методы обследования, диагностики, оказания первичной медицинской помощи при наиболее распространенных хирургических заболеваниях</t>
  </si>
  <si>
    <t>Проводить интенсивную терапию критических состояний, применять приемы сердечно-легочной реанимации при терминальных состояниях</t>
  </si>
  <si>
    <t>Проводить объективное обследование пациента для выявления симптомов хирургических и урологических заболеваний</t>
  </si>
  <si>
    <t xml:space="preserve">Выявлять клиническую симптоматику онкологических заболеваний, участвовать в оказании онкологической помощи с учетом психосоматических аспектов </t>
  </si>
  <si>
    <t>СК-22</t>
  </si>
  <si>
    <t>СК-23</t>
  </si>
  <si>
    <t>Проводить наружный акушерский и гинекологический осмотр, диагностику наиболее частых осложнений беременности и гинекологических заболеваний, оценивать состояние плода и новорожденного</t>
  </si>
  <si>
    <t>Оценивать состояние здоровья и нервно-психического развития ребенка, оказывать медицинскую помощь при неотложных состояниях у детей</t>
  </si>
  <si>
    <t>СК-24</t>
  </si>
  <si>
    <t>СК-25</t>
  </si>
  <si>
    <t>СК-26</t>
  </si>
  <si>
    <t>СК-27</t>
  </si>
  <si>
    <t>Оценивать клиническую симптоматику хирургических заболеваний у детей</t>
  </si>
  <si>
    <t>Применять методы диагностики, лечения и профилактики травм и заболеваний опорно-двигательного аппарата, оказывать помощь военнослужащим и пострадавшим на этапах медицинской эвакуации</t>
  </si>
  <si>
    <t>Организовывать оказание медицинской помощи при чрезвычайных ситуациях</t>
  </si>
  <si>
    <t>Применять знания о принципах, видах, формах и условиях оказания медицинской помощи населению для планирования основных показателей деятельности организаций здравоохранения, разработки и принятия управленческих решений</t>
  </si>
  <si>
    <t>Использовать методы статистического, экономического анализа для планирования основных показателей деятельности организаций здравоохранения, оценки медицинской, социальной, экономической эффективности в здравоохранении</t>
  </si>
  <si>
    <t>СК-28</t>
  </si>
  <si>
    <t>СК-29</t>
  </si>
  <si>
    <t>Применять методы диагностики психопатологических симптомов и синдромов</t>
  </si>
  <si>
    <t>СК-30</t>
  </si>
  <si>
    <t>СК-31</t>
  </si>
  <si>
    <t>СК-32</t>
  </si>
  <si>
    <t>СК-33</t>
  </si>
  <si>
    <t>СК-34</t>
  </si>
  <si>
    <t>СК-35</t>
  </si>
  <si>
    <t>СК-36</t>
  </si>
  <si>
    <t>СК-37</t>
  </si>
  <si>
    <t>Использовать понятийный аппарат современной психологической науки для решения задач профессиональной деятельности</t>
  </si>
  <si>
    <t>СК-38</t>
  </si>
  <si>
    <t>СК-39</t>
  </si>
  <si>
    <t>СК-40</t>
  </si>
  <si>
    <t>СК-41</t>
  </si>
  <si>
    <t>СК-42</t>
  </si>
  <si>
    <t>СК-43</t>
  </si>
  <si>
    <t>СК-44</t>
  </si>
  <si>
    <t>СК-45</t>
  </si>
  <si>
    <t>СК-46</t>
  </si>
  <si>
    <t>СК-47</t>
  </si>
  <si>
    <t>СК-48</t>
  </si>
  <si>
    <t>Применять категориальный аппарат и базовые понятия медицинской психологии и психотерапии в профессиональной деятельности</t>
  </si>
  <si>
    <t>Применять психотерапевтические интервенции при психических и поведенческих расстройствах у детей и подростков</t>
  </si>
  <si>
    <t>Применять принципы клинической психометрики и психодиагностики в решении исследовательских вопросов и подготовке развернутого психодиагностического заключения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</si>
  <si>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</si>
  <si>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Безопасность жизнедеятельности человека</t>
  </si>
  <si>
    <t xml:space="preserve">Организовывать медицинское обеспечение воинской части в военное время </t>
  </si>
  <si>
    <t>Определять особенности психического развития в различных возрастных группах</t>
  </si>
  <si>
    <t>Анализировать социально-психологические феномены и использовать закономерности общения в повседневной и профессиональной коммуникации</t>
  </si>
  <si>
    <t>Анализировать особенности развития семейных отношений, осуществлять психологическое сопровождение семьи</t>
  </si>
  <si>
    <t>Анализировать психологические особенности человека с позиции индивидуальности</t>
  </si>
  <si>
    <t>Проводить общепсиходиагностическое обследование пациентов, формулировать психологическую проблему пациента</t>
  </si>
  <si>
    <t>Проводить планирование психотерапевтической сессии, реализовывать принципы интенциональности и саморефлексии в психотерапии</t>
  </si>
  <si>
    <t>Планировать и проводить психодиагностическое обследование пациентов с психопатологическими симптомами и когнитивными нарушениями</t>
  </si>
  <si>
    <t>Использовать методы лечения исходя из особенностей клинических проявлений и характера течения психических расстройств</t>
  </si>
  <si>
    <t>Срок обучения: 6 лет</t>
  </si>
  <si>
    <t>к врачебной поликлинической практике.</t>
  </si>
  <si>
    <t>СОГЛАСОВАНО</t>
  </si>
  <si>
    <t>Начальник Главного управления профессионального образования</t>
  </si>
  <si>
    <t xml:space="preserve">Министерства образования Республики Беларусь  </t>
  </si>
  <si>
    <t>___________________________</t>
  </si>
  <si>
    <t>С.А.Касперович</t>
  </si>
  <si>
    <t>___________________ 2021</t>
  </si>
  <si>
    <t xml:space="preserve">Проректор по научно-методической работе Государственного учреждения </t>
  </si>
  <si>
    <t>образования «Республиканский институт высшей школы»</t>
  </si>
  <si>
    <t>И.В.Титович</t>
  </si>
  <si>
    <t>1. Ознакомительная</t>
  </si>
  <si>
    <t>1</t>
  </si>
  <si>
    <t>4</t>
  </si>
  <si>
    <t>/510</t>
  </si>
  <si>
    <t>Белорусский язык (профессиональная лексика)</t>
  </si>
  <si>
    <t>Применять основные элементы оперативной техники, использовать хирургические инструменты общего назначения, выполнять первичную хирургическую обработку ран и накладывать базовые хирургические швы</t>
  </si>
  <si>
    <t>1.8.2</t>
  </si>
  <si>
    <t>1.11.2</t>
  </si>
  <si>
    <t>1.11.3</t>
  </si>
  <si>
    <t>2.7.4</t>
  </si>
  <si>
    <t>2.7.5</t>
  </si>
  <si>
    <t>2.14.3</t>
  </si>
  <si>
    <t>2.15.3</t>
  </si>
  <si>
    <t>2.17.3</t>
  </si>
  <si>
    <t>2.20.2</t>
  </si>
  <si>
    <t>2.21.3</t>
  </si>
  <si>
    <t>2.7.2.</t>
  </si>
  <si>
    <t>Использовать знания о закономерностях воздействия факторов среды обитания на здоровье человека, применять методы гигиенической оценки среды обитания человека для разработки базовых профилактических здоровьесберегающих мероприятий; осуществлять организацию и проведение санитарно-гигиенических мероприятий среди военнослужащих</t>
  </si>
  <si>
    <t>Проводить выбор психофармакологического лечения с учетом эффективности,  безопасности и взаимодействия лекарственных средств</t>
  </si>
  <si>
    <t>Использовать методы диагностики и технологии профилактики психических и поведенческих расстройств с учетом особенностей возрастного периода</t>
  </si>
  <si>
    <t>Использовать методы диагностики и профилактики психических расстройств вследствие употребления психоактивных веществ</t>
  </si>
  <si>
    <t>5 семестр,
18 недель</t>
  </si>
  <si>
    <t>6 семестр,
17 недель</t>
  </si>
  <si>
    <t>7 семестр,
19 недель</t>
  </si>
  <si>
    <t>8 семестр,
17 недель</t>
  </si>
  <si>
    <t>9 семестр,
18 недель</t>
  </si>
  <si>
    <t>10 семестр,
16 недель</t>
  </si>
  <si>
    <t>11 семестр,
17 недель</t>
  </si>
  <si>
    <t>12 семестр,
17 недель</t>
  </si>
  <si>
    <t>1 семестр,
20 недель</t>
  </si>
  <si>
    <t>2 семестр,
18 недель</t>
  </si>
  <si>
    <t>Государственные экзамены по специальности:</t>
  </si>
  <si>
    <t>Модуль «Информационные технологии в здравоохранении»
Курсовая работа по учебной дисциплине «Общая психодиагностика» + 2 курсовая</t>
  </si>
  <si>
    <t>УК-1,
СК-41</t>
  </si>
  <si>
    <t>№
п/п</t>
  </si>
  <si>
    <r>
      <rPr>
        <vertAlign val="superscript"/>
        <sz val="16"/>
        <rFont val="Arial"/>
        <family val="2"/>
      </rPr>
      <t>1</t>
    </r>
    <r>
      <rPr>
        <sz val="16"/>
        <rFont val="Arial"/>
        <family val="2"/>
      </rPr>
      <t>Допускается совмещение учебной практики с теоретическим обучением.</t>
    </r>
  </si>
  <si>
    <r>
      <rPr>
        <vertAlign val="superscript"/>
        <sz val="16"/>
        <rFont val="Arial"/>
        <family val="2"/>
      </rPr>
      <t>3</t>
    </r>
    <r>
      <rPr>
        <sz val="16"/>
        <rFont val="Arial"/>
        <family val="2"/>
      </rPr>
      <t>Интегрированная дисциплина «Безопасность жизнедеятельности человека» включает учебные дисциплины «Охрана труда», «Основы энергосбережения».</t>
    </r>
  </si>
  <si>
    <r>
      <rPr>
        <vertAlign val="superscript"/>
        <sz val="16"/>
        <rFont val="Arial"/>
        <family val="2"/>
      </rPr>
      <t>4</t>
    </r>
    <r>
      <rPr>
        <sz val="16"/>
        <rFont val="Arial"/>
        <family val="2"/>
      </rPr>
      <t>Для обучающихся по программе подготовки офицеров запаса.</t>
    </r>
  </si>
  <si>
    <t>Использовать знания о закономерностях развития и анатомического строения тела человека, его систем и органов с учетом возрастных, половых и индивидуальных особенностей в профессиональной деятельности</t>
  </si>
  <si>
    <t xml:space="preserve">Анализировать и сравнивать теории личности, соотносить психологические направления в изучении личности 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</si>
  <si>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</si>
  <si>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Применять базовые знания об истории развития психологической науки в профессиональной и исследовательской деятельности</t>
  </si>
  <si>
    <t>Применять нормативные правовые акты для регулирования правоотношений в сфере здравоохранения, досудебного регулирования споров между субъектами медицинских правоотношений, анализа коррупционных рисков, предотвращения коррупционных нарушений</t>
  </si>
  <si>
    <t>Использовать методы диагностики, дифференциальной диагностики, принципы лечения и профилактики инфекционных заболеваний; организовывать профилактические, санитарно-противоэпидемические мероприятия, в том числе среди военнослужащих</t>
  </si>
  <si>
    <t>Проводить судебно-медицинскую экспертизу трупа и живых лиц, осмотр трупа на месте его обнаружения (происшествия)</t>
  </si>
  <si>
    <t>Применять методики и техники когнитивно-поведенческой, психодинамической, интерперсональной терапии</t>
  </si>
  <si>
    <t>Применять навыки оказания первичной и специализированной медицинской помощи при заболеваниях внутренних органов; организовывать оказание медицинской помощи при чрезвычайных ситуациях</t>
  </si>
  <si>
    <t>Проводить диагностику, лечение и профилактику нарушений высших мозговых (психологических) функций при локальных поражениях мозга</t>
  </si>
  <si>
    <t>Оценивать клинические проявления наследственных заболеваний у детей и подростков; организовывать медико-генетическое консультирование</t>
  </si>
  <si>
    <t>Оказывать первичную и специализированную медицинскую помощь при наиболее распространенных оториноларингологических заболеваниях, травмах, включая неотложные и угрожающие жизни состояния</t>
  </si>
  <si>
    <t>Применять техники психотерапии депрессии, тревожных расстройств, расстройств адаптации</t>
  </si>
  <si>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</t>
    </r>
  </si>
  <si>
    <t>ТИПОВОЙ УЧЕБНЫЙ ПЛАН ПО СПЕЦИАЛЬНОСТИ 1-79 01 05 «МЕДИКО-ПСИХОЛОГИЧЕСКОЕ ДЕЛО"</t>
  </si>
  <si>
    <t>Модуль «Введение в специальность»</t>
  </si>
  <si>
    <t>Модуль «Психология развития личности»</t>
  </si>
  <si>
    <t>Модуль «Медицинский уход»</t>
  </si>
  <si>
    <t>Модуль «Направления и методы психотерапии»</t>
  </si>
  <si>
    <t>Модуль «Психиатрия и наркология»</t>
  </si>
  <si>
    <t>Модуль «Общественное здоровье и здравоохранение»</t>
  </si>
  <si>
    <r>
      <rPr>
        <vertAlign val="superscript"/>
        <sz val="16"/>
        <rFont val="Arial"/>
        <family val="2"/>
      </rPr>
      <t>5</t>
    </r>
    <r>
      <rPr>
        <sz val="16"/>
        <rFont val="Arial"/>
        <family val="2"/>
      </rPr>
      <t xml:space="preserve"> При составлении учебного плана учреждения высшего образования планируется обязательное изучение учебной дисциплины «Медицина катастроф».</t>
    </r>
  </si>
  <si>
    <r>
      <rPr>
        <vertAlign val="superscript"/>
        <sz val="16"/>
        <rFont val="Arial"/>
        <family val="2"/>
      </rPr>
      <t>6</t>
    </r>
    <r>
      <rPr>
        <sz val="16"/>
        <rFont val="Arial"/>
        <family val="2"/>
      </rPr>
      <t xml:space="preserve">Итоговая практика для обучающихся по программе подготовки офицеров запаса в объеме 216 часов с экзаменом за весь период обучения приравнивается </t>
    </r>
  </si>
  <si>
    <r>
      <t>2. Врачебная поликлиническая</t>
    </r>
    <r>
      <rPr>
        <vertAlign val="superscript"/>
        <sz val="11"/>
        <rFont val="Arial"/>
        <family val="2"/>
      </rPr>
      <t>6</t>
    </r>
  </si>
  <si>
    <r>
      <t>Медицина катастроф</t>
    </r>
    <r>
      <rPr>
        <vertAlign val="superscript"/>
        <sz val="15"/>
        <rFont val="Arial"/>
        <family val="2"/>
      </rPr>
      <t>5</t>
    </r>
  </si>
  <si>
    <r>
      <t>Основы управления интеллектуальной собственностью</t>
    </r>
    <r>
      <rPr>
        <vertAlign val="superscript"/>
        <sz val="15"/>
        <rFont val="Arial"/>
        <family val="2"/>
      </rPr>
      <t>2</t>
    </r>
  </si>
  <si>
    <r>
      <t>Безопасность жизнедеятельности человека</t>
    </r>
    <r>
      <rPr>
        <vertAlign val="superscript"/>
        <sz val="15"/>
        <rFont val="Arial"/>
        <family val="2"/>
      </rPr>
      <t>3</t>
    </r>
  </si>
  <si>
    <r>
      <t>Специальная военная подготовка</t>
    </r>
    <r>
      <rPr>
        <vertAlign val="superscript"/>
        <sz val="15"/>
        <rFont val="Arial"/>
        <family val="2"/>
      </rPr>
      <t>4</t>
    </r>
  </si>
  <si>
    <r>
      <t xml:space="preserve">общее кол. часов с учетом ДВО и факульт. </t>
    </r>
    <r>
      <rPr>
        <b/>
        <sz val="12"/>
        <color indexed="10"/>
        <rFont val="Arial"/>
        <family val="2"/>
      </rPr>
      <t>не более 72 часов</t>
    </r>
  </si>
  <si>
    <r>
      <t xml:space="preserve">сумма аудиторных часов +факульт.+доп.виды
не больше </t>
    </r>
    <r>
      <rPr>
        <b/>
        <sz val="12"/>
        <color indexed="10"/>
        <rFont val="Arial"/>
        <family val="2"/>
      </rPr>
      <t>40 в неделю</t>
    </r>
  </si>
  <si>
    <r>
      <t xml:space="preserve">макс. объем уч.нагрузки в неделю вместе с БЖЧ и бел.яз. </t>
    </r>
    <r>
      <rPr>
        <b/>
        <sz val="12"/>
        <color indexed="10"/>
        <rFont val="Arial"/>
        <family val="2"/>
      </rPr>
      <t>не более 54</t>
    </r>
    <r>
      <rPr>
        <b/>
        <sz val="12"/>
        <rFont val="Arial"/>
        <family val="2"/>
      </rPr>
      <t>, минимум 46</t>
    </r>
  </si>
  <si>
    <t>/210</t>
  </si>
  <si>
    <t>3 семестр,
19 недель</t>
  </si>
  <si>
    <t>4 семестр,
18 недель</t>
  </si>
  <si>
    <t>Модуль "Информационные технологии в здравоохранении", Первая помощь</t>
  </si>
  <si>
    <t>1.7., 2.1.1</t>
  </si>
  <si>
    <t>планируется в качестве дисциплины компонента учреждения высшего образования.</t>
  </si>
  <si>
    <t>Владеть навыками словообразования, произношения и употребления греко-латинской медицинской терминологии в профессиональной деятельности</t>
  </si>
  <si>
    <t>11, 12</t>
  </si>
  <si>
    <t>Использовать знания о методах лучевой диагностики и лучевой терапии, выявлять основные лучевые признаки заболеваний органов</t>
  </si>
  <si>
    <t>Использовать методы обследования, диагностики, дифференциальной диагностики для  формулировки клинического диагноза, применять методы лечения и профилактики основных заболеваний и повреждений нервной системы</t>
  </si>
  <si>
    <t xml:space="preserve">Использовать современные методы клинического, лабораторного, инструментального обследования офтальмологических заболеваний, применять методы их лечения и профилактики </t>
  </si>
  <si>
    <t>Современная политэкономия</t>
  </si>
  <si>
    <t>Социология</t>
  </si>
  <si>
    <t>2.3.3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</si>
  <si>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</si>
  <si>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</si>
  <si>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</si>
  <si>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4д</t>
  </si>
  <si>
    <t>Личностно-профессиональное развитие специалиста</t>
  </si>
  <si>
    <t>Обладать способностью разрабатывать и реализовать методики и технологии самоорганизации и самообразования, проектировать траектории своего профессионального роста и личностного развития, осознанно осуществлять педагогическую работу с детьми в условиях семьи в разных видах деятельности</t>
  </si>
  <si>
    <t>Применять знания об основных характеристиках микроорганизмов, вызывающих инфекционные заболевания человека, закономерностях функционирования иммунной системы, механизмах развития заболеваний при проведении микробиологической диагностики</t>
  </si>
  <si>
    <t>Обладать способностью анализировать происходящие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</t>
  </si>
  <si>
    <t>МИНИСТЕРСТВО ОБРАЗОВАНИЯ РЕСПУБЛИКИ БЕЛАРУСЬ</t>
  </si>
  <si>
    <t xml:space="preserve">Первый заместитель </t>
  </si>
  <si>
    <t>Министра образования</t>
  </si>
  <si>
    <t>ПРИМЕРНЫЙ УЧЕБНЫЙ ПЛАН</t>
  </si>
  <si>
    <t>Квалификация: Врач</t>
  </si>
  <si>
    <t>Республики Беларусь</t>
  </si>
  <si>
    <t>Степень: Магистр</t>
  </si>
  <si>
    <t>_______________</t>
  </si>
  <si>
    <t>И.А.Старовойтова</t>
  </si>
  <si>
    <t>_______________ 20__</t>
  </si>
  <si>
    <t>Специальность 7-07-0911-05 Медико-психологическое дело</t>
  </si>
  <si>
    <t>2.24</t>
  </si>
  <si>
    <t>2.24.1</t>
  </si>
  <si>
    <t>2.24.2</t>
  </si>
  <si>
    <t>2.25</t>
  </si>
  <si>
    <t>2.25.1</t>
  </si>
  <si>
    <t>2.25.2</t>
  </si>
  <si>
    <t>2.25.3</t>
  </si>
  <si>
    <t>2.25.4</t>
  </si>
  <si>
    <t>Модуль "Социально-гуманитарные дисциплины-1"</t>
  </si>
  <si>
    <t>Модуль "Социально-гуманитарные дисциплины-2"</t>
  </si>
  <si>
    <t>Личностно-профессиональное развитие специалиста/ Культурология</t>
  </si>
  <si>
    <t>Социология/ Социология здоровья</t>
  </si>
  <si>
    <t>Великая Отечественная война советского народа (в контексте Второй мировой войны)</t>
  </si>
  <si>
    <t>История медицины, Медицинское право</t>
  </si>
  <si>
    <t>1.6.1, 2.19.3</t>
  </si>
  <si>
    <t>Социология здоровья</t>
  </si>
  <si>
    <t>Применять методы изучения здоровья населения для организации и проведения мероприятий превентивного (предупреждающего) и протективного (защитного) характера</t>
  </si>
  <si>
    <t>УК-13</t>
  </si>
  <si>
    <t>УК-14</t>
  </si>
  <si>
    <t>УК-15</t>
  </si>
  <si>
    <t>Культурология</t>
  </si>
  <si>
    <t>Обладать способностью анализировать процессы и явления национальной и мировой культуры, устанавливать межличностное взаимодействие с учетом социально-культурных особенностей, этнических и конфессиональных различий</t>
  </si>
  <si>
    <t>Е.Н.Кроткова</t>
  </si>
  <si>
    <t>___________________ 20__</t>
  </si>
  <si>
    <t>Сопредседатель УМО по высшему медицинскому, фармацевтическому образованию</t>
  </si>
  <si>
    <t>С.П.Рубникович</t>
  </si>
  <si>
    <t>Начальник Главного управления организационно-кадровой работы</t>
  </si>
  <si>
    <t>Министерства здравоохранения Республики Беларусь</t>
  </si>
  <si>
    <t>О.Н.Колюпанова</t>
  </si>
  <si>
    <t>Эксперт-нормоконтролер</t>
  </si>
  <si>
    <t>О.А.Шимановская</t>
  </si>
  <si>
    <t>Председатель НМС по медико-психологическому делу</t>
  </si>
  <si>
    <t>С.Л.Бойко</t>
  </si>
  <si>
    <t>Рекомендован к утверждению Президиумом Совета УМО
по высшему медицинскому, фармацевтическому образованию</t>
  </si>
  <si>
    <t>Продолжение примерного учебного плана по специальности 7-07-0911-05 Медико-психологическое дело, регистрационный № _______</t>
  </si>
  <si>
    <t>/1-7</t>
  </si>
  <si>
    <t>2.25.5</t>
  </si>
  <si>
    <t>2.25.6</t>
  </si>
  <si>
    <t>2.25.7</t>
  </si>
  <si>
    <t>Философия и методология науки</t>
  </si>
  <si>
    <t>/12</t>
  </si>
  <si>
    <t>/124</t>
  </si>
  <si>
    <t>/40</t>
  </si>
  <si>
    <t>/24</t>
  </si>
  <si>
    <t>/16</t>
  </si>
  <si>
    <t>/142</t>
  </si>
  <si>
    <t>/96</t>
  </si>
  <si>
    <t>/4</t>
  </si>
  <si>
    <t>Основы информационных технологий</t>
  </si>
  <si>
    <t>/26</t>
  </si>
  <si>
    <t>/14</t>
  </si>
  <si>
    <t>Применять методы научного познания в исследовательской деятельности, генерировать и реализовывать инновационные идеи</t>
  </si>
  <si>
    <t>Решать профессиональные, научно-исследовательские и инновационные задачи на основе применения информационно-коммуникационных технологий</t>
  </si>
  <si>
    <t>УК-16</t>
  </si>
  <si>
    <t>1.13</t>
  </si>
  <si>
    <t>1.13.1</t>
  </si>
  <si>
    <t>1.13.2</t>
  </si>
  <si>
    <t>2д</t>
  </si>
  <si>
    <t>3д</t>
  </si>
  <si>
    <t>/10д</t>
  </si>
  <si>
    <t>УК-18</t>
  </si>
  <si>
    <t>УК-19</t>
  </si>
  <si>
    <t>УК-20</t>
  </si>
  <si>
    <t>Иностранный язык (канд.мин.)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</si>
  <si>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</si>
  <si>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УК-17</t>
  </si>
  <si>
    <t>1.7, 2.11.3, 
2.20.2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</si>
  <si>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</si>
  <si>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Белорусский язык</t>
  </si>
  <si>
    <t>Осуществлять коммуникации на иностранном языке для решения задач межличностного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</si>
  <si>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</si>
  <si>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>1.1.3, 2.3.2, 2.19.3</t>
  </si>
  <si>
    <r>
      <t xml:space="preserve">Философия
Культурология
</t>
    </r>
    <r>
      <rPr>
        <b/>
        <sz val="10"/>
        <rFont val="Arial"/>
        <family val="2"/>
      </rPr>
      <t>Медицинское право</t>
    </r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</si>
  <si>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</si>
  <si>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</si>
  <si>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УПК-1</t>
  </si>
  <si>
    <t>УПК-2</t>
  </si>
  <si>
    <t>УК-1, 2, 8</t>
  </si>
  <si>
    <t>УК-5,10</t>
  </si>
  <si>
    <t>УК-7, БПК-6</t>
  </si>
  <si>
    <t>УК-8,
СК-1</t>
  </si>
  <si>
    <t>УК-5,
СК-5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</si>
  <si>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</si>
  <si>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Министра здравоохранения</t>
  </si>
  <si>
    <r>
      <t>Основы информационных технологий</t>
    </r>
    <r>
      <rPr>
        <vertAlign val="superscript"/>
        <sz val="15"/>
        <rFont val="Arial"/>
        <family val="2"/>
      </rPr>
      <t>7</t>
    </r>
  </si>
  <si>
    <r>
      <t>Философия и методология науки</t>
    </r>
    <r>
      <rPr>
        <vertAlign val="superscript"/>
        <sz val="15"/>
        <rFont val="Arial"/>
        <family val="2"/>
      </rPr>
      <t>7</t>
    </r>
  </si>
  <si>
    <r>
      <t>Иностранный язык</t>
    </r>
    <r>
      <rPr>
        <vertAlign val="superscript"/>
        <sz val="15"/>
        <rFont val="Arial"/>
        <family val="2"/>
      </rPr>
      <t>7</t>
    </r>
  </si>
  <si>
    <t>II. Сводные данные по бюджету времени (в неделях)</t>
  </si>
  <si>
    <r>
      <t>29</t>
    </r>
    <r>
      <rPr>
        <sz val="12"/>
        <rFont val="Times New Roman"/>
        <family val="1"/>
      </rPr>
      <t xml:space="preserve">
09</t>
    </r>
  </si>
  <si>
    <r>
      <t>27</t>
    </r>
    <r>
      <rPr>
        <sz val="12"/>
        <rFont val="Times New Roman"/>
        <family val="1"/>
      </rPr>
      <t xml:space="preserve">
10</t>
    </r>
  </si>
  <si>
    <r>
      <t>29</t>
    </r>
    <r>
      <rPr>
        <sz val="12"/>
        <rFont val="Times New Roman"/>
        <family val="1"/>
      </rPr>
      <t xml:space="preserve">
12</t>
    </r>
  </si>
  <si>
    <r>
      <t>26</t>
    </r>
    <r>
      <rPr>
        <sz val="12"/>
        <rFont val="Times New Roman"/>
        <family val="1"/>
      </rPr>
      <t xml:space="preserve">
01</t>
    </r>
  </si>
  <si>
    <r>
      <t>23</t>
    </r>
    <r>
      <rPr>
        <sz val="12"/>
        <rFont val="Times New Roman"/>
        <family val="1"/>
      </rPr>
      <t xml:space="preserve">
02</t>
    </r>
  </si>
  <si>
    <r>
      <t>30</t>
    </r>
    <r>
      <rPr>
        <sz val="12"/>
        <rFont val="Times New Roman"/>
        <family val="1"/>
      </rPr>
      <t xml:space="preserve">
03</t>
    </r>
  </si>
  <si>
    <r>
      <t>27</t>
    </r>
    <r>
      <rPr>
        <sz val="12"/>
        <rFont val="Times New Roman"/>
        <family val="1"/>
      </rPr>
      <t xml:space="preserve">
04</t>
    </r>
  </si>
  <si>
    <r>
      <t>29</t>
    </r>
    <r>
      <rPr>
        <sz val="12"/>
        <rFont val="Times New Roman"/>
        <family val="1"/>
      </rPr>
      <t xml:space="preserve">
06</t>
    </r>
  </si>
  <si>
    <r>
      <t>27</t>
    </r>
    <r>
      <rPr>
        <sz val="12"/>
        <rFont val="Times New Roman"/>
        <family val="1"/>
      </rPr>
      <t xml:space="preserve">
07</t>
    </r>
  </si>
  <si>
    <r>
      <t>05</t>
    </r>
    <r>
      <rPr>
        <sz val="12"/>
        <rFont val="Times New Roman"/>
        <family val="1"/>
      </rPr>
      <t xml:space="preserve">
10</t>
    </r>
  </si>
  <si>
    <r>
      <t>02</t>
    </r>
    <r>
      <rPr>
        <sz val="12"/>
        <rFont val="Times New Roman"/>
        <family val="1"/>
      </rPr>
      <t xml:space="preserve">
11</t>
    </r>
  </si>
  <si>
    <r>
      <t>04</t>
    </r>
    <r>
      <rPr>
        <sz val="12"/>
        <rFont val="Times New Roman"/>
        <family val="1"/>
      </rPr>
      <t xml:space="preserve">
01</t>
    </r>
  </si>
  <si>
    <r>
      <t>01</t>
    </r>
    <r>
      <rPr>
        <sz val="12"/>
        <rFont val="Times New Roman"/>
        <family val="1"/>
      </rPr>
      <t xml:space="preserve">
02</t>
    </r>
  </si>
  <si>
    <r>
      <t>01</t>
    </r>
    <r>
      <rPr>
        <sz val="12"/>
        <rFont val="Times New Roman"/>
        <family val="1"/>
      </rPr>
      <t xml:space="preserve">
03</t>
    </r>
  </si>
  <si>
    <r>
      <t>05</t>
    </r>
    <r>
      <rPr>
        <sz val="12"/>
        <rFont val="Times New Roman"/>
        <family val="1"/>
      </rPr>
      <t xml:space="preserve">
04</t>
    </r>
  </si>
  <si>
    <r>
      <t>03</t>
    </r>
    <r>
      <rPr>
        <sz val="12"/>
        <rFont val="Times New Roman"/>
        <family val="1"/>
      </rPr>
      <t xml:space="preserve">
05</t>
    </r>
  </si>
  <si>
    <r>
      <t>05</t>
    </r>
    <r>
      <rPr>
        <sz val="12"/>
        <rFont val="Times New Roman"/>
        <family val="1"/>
      </rPr>
      <t xml:space="preserve">
07</t>
    </r>
  </si>
  <si>
    <r>
      <t>02</t>
    </r>
    <r>
      <rPr>
        <sz val="12"/>
        <rFont val="Times New Roman"/>
        <family val="1"/>
      </rPr>
      <t xml:space="preserve">
08</t>
    </r>
  </si>
  <si>
    <r>
      <t>52</t>
    </r>
    <r>
      <rPr>
        <vertAlign val="superscript"/>
        <sz val="12"/>
        <rFont val="Arial"/>
        <family val="2"/>
      </rPr>
      <t>1</t>
    </r>
  </si>
  <si>
    <t>Использовать средства физической культуры и спорта для сохранения и укрепления здоровья, профилактики заболеваний</t>
  </si>
  <si>
    <t>Разработан в качестве примера реализации образовательного стандарта по специальности 7-07-0911-05 «Медико-психологическое дело».</t>
  </si>
  <si>
    <r>
      <rPr>
        <vertAlign val="superscript"/>
        <sz val="16"/>
        <rFont val="Arial"/>
        <family val="2"/>
      </rPr>
      <t>7</t>
    </r>
    <r>
      <rPr>
        <sz val="16"/>
        <rFont val="Arial"/>
        <family val="2"/>
      </rPr>
      <t>Общеобразовательные дисциплины «Философия и методология науки», «Иностранный язык»,«Основы информационных технологий» включаются в перечень учебных дисциплин модуля «Дополнительные виды обучения» учебного плана и изучаются по выбору обучающегося.</t>
    </r>
  </si>
  <si>
    <t>УК-12/УК- 14</t>
  </si>
  <si>
    <t>УК-5, 13/УК-15</t>
  </si>
  <si>
    <t>Владеть основами исследовательской деятельности, осуществлять поиск, анализ и синтез информации</t>
  </si>
  <si>
    <t>Использовать основные понятия и термины специальной лексики белорусского языка в профессиональной деятельности</t>
  </si>
  <si>
    <t>Протокол № 4 от 21.07.2022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</si>
</sst>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%"/>
    <numFmt numFmtId="198" formatCode="#,##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23"/>
      <name val="Arial"/>
      <family val="2"/>
    </font>
    <font>
      <vertAlign val="superscript"/>
      <sz val="11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i/>
      <sz val="16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vertAlign val="superscript"/>
      <sz val="16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b/>
      <sz val="15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vertAlign val="superscript"/>
      <sz val="15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5"/>
      <name val="Times New Roman"/>
      <family val="1"/>
    </font>
    <font>
      <u val="single"/>
      <sz val="12"/>
      <name val="Arial"/>
      <family val="2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name val="Arial"/>
      <family val="2"/>
    </font>
    <font>
      <sz val="12"/>
      <color indexed="10"/>
      <name val="Times New Roman"/>
      <family val="1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FF0000"/>
      <name val="Times New Roman"/>
      <family val="1"/>
    </font>
    <font>
      <sz val="16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2" fillId="3" borderId="0" applyNumberFormat="0" applyBorder="0" applyAlignment="0" applyProtection="0"/>
    <xf numFmtId="0" fontId="1" fillId="4" borderId="0" applyNumberFormat="0" applyBorder="0" applyAlignment="0" applyProtection="0"/>
    <xf numFmtId="0" fontId="62" fillId="5" borderId="0" applyNumberFormat="0" applyBorder="0" applyAlignment="0" applyProtection="0"/>
    <xf numFmtId="0" fontId="1" fillId="6" borderId="0" applyNumberFormat="0" applyBorder="0" applyAlignment="0" applyProtection="0"/>
    <xf numFmtId="0" fontId="62" fillId="7" borderId="0" applyNumberFormat="0" applyBorder="0" applyAlignment="0" applyProtection="0"/>
    <xf numFmtId="0" fontId="1" fillId="8" borderId="0" applyNumberFormat="0" applyBorder="0" applyAlignment="0" applyProtection="0"/>
    <xf numFmtId="0" fontId="62" fillId="9" borderId="0" applyNumberFormat="0" applyBorder="0" applyAlignment="0" applyProtection="0"/>
    <xf numFmtId="0" fontId="1" fillId="10" borderId="0" applyNumberFormat="0" applyBorder="0" applyAlignment="0" applyProtection="0"/>
    <xf numFmtId="0" fontId="62" fillId="11" borderId="0" applyNumberFormat="0" applyBorder="0" applyAlignment="0" applyProtection="0"/>
    <xf numFmtId="0" fontId="1" fillId="12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62" fillId="15" borderId="0" applyNumberFormat="0" applyBorder="0" applyAlignment="0" applyProtection="0"/>
    <xf numFmtId="0" fontId="1" fillId="16" borderId="0" applyNumberFormat="0" applyBorder="0" applyAlignment="0" applyProtection="0"/>
    <xf numFmtId="0" fontId="62" fillId="17" borderId="0" applyNumberFormat="0" applyBorder="0" applyAlignment="0" applyProtection="0"/>
    <xf numFmtId="0" fontId="1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8" borderId="0" applyNumberFormat="0" applyBorder="0" applyAlignment="0" applyProtection="0"/>
    <xf numFmtId="0" fontId="62" fillId="20" borderId="0" applyNumberFormat="0" applyBorder="0" applyAlignment="0" applyProtection="0"/>
    <xf numFmtId="0" fontId="1" fillId="14" borderId="0" applyNumberFormat="0" applyBorder="0" applyAlignment="0" applyProtection="0"/>
    <xf numFmtId="0" fontId="62" fillId="21" borderId="0" applyNumberFormat="0" applyBorder="0" applyAlignment="0" applyProtection="0"/>
    <xf numFmtId="0" fontId="1" fillId="22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63" fillId="25" borderId="0" applyNumberFormat="0" applyBorder="0" applyAlignment="0" applyProtection="0"/>
    <xf numFmtId="0" fontId="2" fillId="16" borderId="0" applyNumberFormat="0" applyBorder="0" applyAlignment="0" applyProtection="0"/>
    <xf numFmtId="0" fontId="63" fillId="26" borderId="0" applyNumberFormat="0" applyBorder="0" applyAlignment="0" applyProtection="0"/>
    <xf numFmtId="0" fontId="2" fillId="18" borderId="0" applyNumberFormat="0" applyBorder="0" applyAlignment="0" applyProtection="0"/>
    <xf numFmtId="0" fontId="63" fillId="27" borderId="0" applyNumberFormat="0" applyBorder="0" applyAlignment="0" applyProtection="0"/>
    <xf numFmtId="0" fontId="2" fillId="28" borderId="0" applyNumberFormat="0" applyBorder="0" applyAlignment="0" applyProtection="0"/>
    <xf numFmtId="0" fontId="63" fillId="29" borderId="0" applyNumberFormat="0" applyBorder="0" applyAlignment="0" applyProtection="0"/>
    <xf numFmtId="0" fontId="2" fillId="30" borderId="0" applyNumberFormat="0" applyBorder="0" applyAlignment="0" applyProtection="0"/>
    <xf numFmtId="0" fontId="63" fillId="31" borderId="0" applyNumberFormat="0" applyBorder="0" applyAlignment="0" applyProtection="0"/>
    <xf numFmtId="0" fontId="2" fillId="32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85">
    <xf numFmtId="0" fontId="0" fillId="0" borderId="0" xfId="0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22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 applyProtection="1">
      <alignment/>
      <protection/>
    </xf>
    <xf numFmtId="0" fontId="0" fillId="0" borderId="0" xfId="0" applyAlignment="1">
      <alignment wrapText="1"/>
    </xf>
    <xf numFmtId="0" fontId="25" fillId="0" borderId="0" xfId="0" applyFont="1" applyFill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 locked="0"/>
    </xf>
    <xf numFmtId="0" fontId="25" fillId="0" borderId="13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 hidden="1"/>
    </xf>
    <xf numFmtId="0" fontId="25" fillId="0" borderId="14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/>
      <protection/>
    </xf>
    <xf numFmtId="49" fontId="25" fillId="0" borderId="11" xfId="0" applyNumberFormat="1" applyFont="1" applyFill="1" applyBorder="1" applyAlignment="1" applyProtection="1">
      <alignment horizontal="center"/>
      <protection locked="0"/>
    </xf>
    <xf numFmtId="0" fontId="25" fillId="42" borderId="11" xfId="0" applyFont="1" applyFill="1" applyBorder="1" applyAlignment="1" applyProtection="1">
      <alignment horizontal="center"/>
      <protection/>
    </xf>
    <xf numFmtId="0" fontId="35" fillId="0" borderId="0" xfId="0" applyFont="1" applyFill="1" applyAlignment="1">
      <alignment/>
    </xf>
    <xf numFmtId="0" fontId="29" fillId="0" borderId="11" xfId="71" applyFont="1" applyBorder="1" applyAlignment="1">
      <alignment horizontal="center" vertical="center" wrapText="1"/>
      <protection/>
    </xf>
    <xf numFmtId="0" fontId="29" fillId="0" borderId="11" xfId="7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justify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 applyProtection="1">
      <alignment horizontal="left" vertical="center" wrapText="1"/>
      <protection/>
    </xf>
    <xf numFmtId="49" fontId="24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40" fillId="43" borderId="11" xfId="0" applyFont="1" applyFill="1" applyBorder="1" applyAlignment="1" applyProtection="1">
      <alignment horizontal="left" vertical="center" wrapText="1"/>
      <protection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 applyProtection="1">
      <alignment horizontal="center" vertical="center"/>
      <protection/>
    </xf>
    <xf numFmtId="49" fontId="24" fillId="0" borderId="11" xfId="0" applyNumberFormat="1" applyFont="1" applyFill="1" applyBorder="1" applyAlignment="1" applyProtection="1">
      <alignment horizontal="center" vertical="center"/>
      <protection/>
    </xf>
    <xf numFmtId="49" fontId="28" fillId="43" borderId="11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>
      <alignment horizontal="justify" vertical="center" wrapText="1"/>
    </xf>
    <xf numFmtId="0" fontId="0" fillId="0" borderId="0" xfId="71" applyFont="1" applyFill="1" applyAlignment="1">
      <alignment vertical="center"/>
      <protection/>
    </xf>
    <xf numFmtId="0" fontId="0" fillId="0" borderId="0" xfId="71" applyFont="1" applyAlignment="1">
      <alignment/>
      <protection/>
    </xf>
    <xf numFmtId="0" fontId="0" fillId="0" borderId="0" xfId="71" applyFont="1">
      <alignment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0" xfId="71" applyFont="1" applyAlignment="1">
      <alignment wrapText="1"/>
      <protection/>
    </xf>
    <xf numFmtId="0" fontId="0" fillId="0" borderId="0" xfId="71" applyFont="1" applyAlignment="1">
      <alignment horizontal="center"/>
      <protection/>
    </xf>
    <xf numFmtId="0" fontId="0" fillId="0" borderId="0" xfId="71" applyFont="1" applyAlignment="1">
      <alignment vertical="center" wrapText="1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25" fillId="0" borderId="11" xfId="0" applyFont="1" applyFill="1" applyBorder="1" applyAlignment="1" applyProtection="1">
      <alignment vertical="top"/>
      <protection/>
    </xf>
    <xf numFmtId="49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196" fontId="0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1" fontId="35" fillId="0" borderId="0" xfId="0" applyNumberFormat="1" applyFont="1" applyFill="1" applyAlignment="1">
      <alignment wrapText="1"/>
    </xf>
    <xf numFmtId="196" fontId="35" fillId="0" borderId="0" xfId="0" applyNumberFormat="1" applyFont="1" applyFill="1" applyAlignment="1">
      <alignment horizontal="center" wrapText="1"/>
    </xf>
    <xf numFmtId="1" fontId="35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" fontId="43" fillId="0" borderId="0" xfId="0" applyNumberFormat="1" applyFont="1" applyFill="1" applyAlignment="1">
      <alignment wrapText="1"/>
    </xf>
    <xf numFmtId="0" fontId="35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35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6" fillId="0" borderId="0" xfId="0" applyFont="1" applyFill="1" applyAlignment="1">
      <alignment wrapText="1"/>
    </xf>
    <xf numFmtId="0" fontId="45" fillId="0" borderId="0" xfId="0" applyFont="1" applyFill="1" applyAlignment="1">
      <alignment wrapText="1"/>
    </xf>
    <xf numFmtId="0" fontId="38" fillId="0" borderId="0" xfId="0" applyFont="1" applyFill="1" applyAlignment="1">
      <alignment wrapText="1"/>
    </xf>
    <xf numFmtId="196" fontId="24" fillId="0" borderId="0" xfId="0" applyNumberFormat="1" applyFont="1" applyFill="1" applyAlignment="1">
      <alignment horizontal="center" wrapText="1"/>
    </xf>
    <xf numFmtId="0" fontId="35" fillId="0" borderId="0" xfId="0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0" fontId="39" fillId="0" borderId="0" xfId="0" applyFont="1" applyFill="1" applyAlignment="1">
      <alignment horizontal="center" wrapText="1"/>
    </xf>
    <xf numFmtId="0" fontId="46" fillId="0" borderId="0" xfId="0" applyFont="1" applyFill="1" applyAlignment="1">
      <alignment wrapText="1"/>
    </xf>
    <xf numFmtId="196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/>
    </xf>
    <xf numFmtId="196" fontId="26" fillId="0" borderId="0" xfId="0" applyNumberFormat="1" applyFont="1" applyFill="1" applyAlignment="1">
      <alignment horizontal="center" wrapText="1"/>
    </xf>
    <xf numFmtId="196" fontId="26" fillId="0" borderId="0" xfId="0" applyNumberFormat="1" applyFont="1" applyFill="1" applyAlignment="1">
      <alignment wrapText="1"/>
    </xf>
    <xf numFmtId="0" fontId="42" fillId="0" borderId="0" xfId="0" applyFont="1" applyFill="1" applyAlignment="1">
      <alignment wrapText="1"/>
    </xf>
    <xf numFmtId="196" fontId="0" fillId="0" borderId="0" xfId="0" applyNumberFormat="1" applyFont="1" applyFill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49" fontId="26" fillId="0" borderId="0" xfId="0" applyNumberFormat="1" applyFont="1" applyFill="1" applyAlignment="1">
      <alignment horizontal="center"/>
    </xf>
    <xf numFmtId="49" fontId="24" fillId="0" borderId="0" xfId="0" applyNumberFormat="1" applyFont="1" applyFill="1" applyAlignment="1">
      <alignment horizontal="center"/>
    </xf>
    <xf numFmtId="49" fontId="26" fillId="0" borderId="0" xfId="0" applyNumberFormat="1" applyFont="1" applyFill="1" applyAlignment="1">
      <alignment horizontal="center" wrapText="1"/>
    </xf>
    <xf numFmtId="49" fontId="39" fillId="0" borderId="0" xfId="0" applyNumberFormat="1" applyFont="1" applyFill="1" applyAlignment="1">
      <alignment horizontal="center" wrapText="1"/>
    </xf>
    <xf numFmtId="49" fontId="35" fillId="0" borderId="0" xfId="0" applyNumberFormat="1" applyFont="1" applyFill="1" applyAlignment="1">
      <alignment horizontal="center" wrapText="1"/>
    </xf>
    <xf numFmtId="1" fontId="47" fillId="0" borderId="11" xfId="0" applyNumberFormat="1" applyFont="1" applyFill="1" applyBorder="1" applyAlignment="1">
      <alignment horizontal="right" vertical="center" wrapText="1"/>
    </xf>
    <xf numFmtId="1" fontId="47" fillId="0" borderId="15" xfId="0" applyNumberFormat="1" applyFont="1" applyFill="1" applyBorder="1" applyAlignment="1">
      <alignment horizontal="right" vertical="center" wrapText="1"/>
    </xf>
    <xf numFmtId="196" fontId="26" fillId="0" borderId="0" xfId="0" applyNumberFormat="1" applyFont="1" applyFill="1" applyAlignment="1">
      <alignment/>
    </xf>
    <xf numFmtId="196" fontId="23" fillId="0" borderId="0" xfId="0" applyNumberFormat="1" applyFont="1" applyFill="1" applyAlignment="1">
      <alignment wrapText="1"/>
    </xf>
    <xf numFmtId="196" fontId="26" fillId="0" borderId="0" xfId="0" applyNumberFormat="1" applyFont="1" applyFill="1" applyAlignment="1">
      <alignment vertical="center" wrapText="1"/>
    </xf>
    <xf numFmtId="1" fontId="34" fillId="0" borderId="16" xfId="0" applyNumberFormat="1" applyFont="1" applyFill="1" applyBorder="1" applyAlignment="1">
      <alignment horizontal="center" vertical="center" wrapText="1"/>
    </xf>
    <xf numFmtId="1" fontId="34" fillId="0" borderId="15" xfId="0" applyNumberFormat="1" applyFont="1" applyFill="1" applyBorder="1" applyAlignment="1">
      <alignment horizontal="center" vertical="center" wrapText="1"/>
    </xf>
    <xf numFmtId="1" fontId="47" fillId="0" borderId="17" xfId="0" applyNumberFormat="1" applyFont="1" applyFill="1" applyBorder="1" applyAlignment="1">
      <alignment horizontal="center" vertical="center" wrapText="1"/>
    </xf>
    <xf numFmtId="1" fontId="34" fillId="0" borderId="16" xfId="0" applyNumberFormat="1" applyFont="1" applyFill="1" applyBorder="1" applyAlignment="1">
      <alignment vertical="center" wrapText="1"/>
    </xf>
    <xf numFmtId="1" fontId="34" fillId="0" borderId="18" xfId="0" applyNumberFormat="1" applyFont="1" applyFill="1" applyBorder="1" applyAlignment="1">
      <alignment vertical="center" wrapText="1"/>
    </xf>
    <xf numFmtId="1" fontId="34" fillId="0" borderId="11" xfId="0" applyNumberFormat="1" applyFont="1" applyFill="1" applyBorder="1" applyAlignment="1">
      <alignment vertical="center" wrapText="1"/>
    </xf>
    <xf numFmtId="1" fontId="34" fillId="0" borderId="15" xfId="0" applyNumberFormat="1" applyFont="1" applyFill="1" applyBorder="1" applyAlignment="1">
      <alignment vertical="center" wrapText="1"/>
    </xf>
    <xf numFmtId="1" fontId="49" fillId="0" borderId="11" xfId="0" applyNumberFormat="1" applyFont="1" applyFill="1" applyBorder="1" applyAlignment="1">
      <alignment vertical="center" wrapText="1"/>
    </xf>
    <xf numFmtId="1" fontId="34" fillId="0" borderId="19" xfId="0" applyNumberFormat="1" applyFont="1" applyFill="1" applyBorder="1" applyAlignment="1">
      <alignment vertical="center" wrapText="1"/>
    </xf>
    <xf numFmtId="1" fontId="34" fillId="19" borderId="16" xfId="0" applyNumberFormat="1" applyFont="1" applyFill="1" applyBorder="1" applyAlignment="1">
      <alignment horizontal="center" vertical="center" wrapText="1"/>
    </xf>
    <xf numFmtId="1" fontId="34" fillId="19" borderId="15" xfId="0" applyNumberFormat="1" applyFont="1" applyFill="1" applyBorder="1" applyAlignment="1">
      <alignment horizontal="center" vertical="center" wrapText="1"/>
    </xf>
    <xf numFmtId="1" fontId="34" fillId="19" borderId="16" xfId="0" applyNumberFormat="1" applyFont="1" applyFill="1" applyBorder="1" applyAlignment="1">
      <alignment vertical="center" wrapText="1"/>
    </xf>
    <xf numFmtId="1" fontId="34" fillId="19" borderId="18" xfId="0" applyNumberFormat="1" applyFont="1" applyFill="1" applyBorder="1" applyAlignment="1">
      <alignment vertical="center" wrapText="1"/>
    </xf>
    <xf numFmtId="1" fontId="34" fillId="19" borderId="11" xfId="0" applyNumberFormat="1" applyFont="1" applyFill="1" applyBorder="1" applyAlignment="1">
      <alignment vertical="center" wrapText="1"/>
    </xf>
    <xf numFmtId="1" fontId="34" fillId="19" borderId="15" xfId="0" applyNumberFormat="1" applyFont="1" applyFill="1" applyBorder="1" applyAlignment="1">
      <alignment vertical="center" wrapText="1"/>
    </xf>
    <xf numFmtId="1" fontId="49" fillId="19" borderId="11" xfId="0" applyNumberFormat="1" applyFont="1" applyFill="1" applyBorder="1" applyAlignment="1">
      <alignment vertical="center" wrapText="1"/>
    </xf>
    <xf numFmtId="1" fontId="34" fillId="19" borderId="19" xfId="0" applyNumberFormat="1" applyFont="1" applyFill="1" applyBorder="1" applyAlignment="1">
      <alignment vertical="center" wrapText="1"/>
    </xf>
    <xf numFmtId="1" fontId="34" fillId="19" borderId="2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Alignment="1">
      <alignment wrapText="1"/>
    </xf>
    <xf numFmtId="0" fontId="52" fillId="0" borderId="0" xfId="0" applyFont="1" applyFill="1" applyAlignment="1">
      <alignment wrapText="1"/>
    </xf>
    <xf numFmtId="1" fontId="24" fillId="0" borderId="0" xfId="0" applyNumberFormat="1" applyFont="1" applyFill="1" applyAlignment="1">
      <alignment wrapText="1"/>
    </xf>
    <xf numFmtId="196" fontId="28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1" fontId="24" fillId="0" borderId="0" xfId="0" applyNumberFormat="1" applyFont="1" applyFill="1" applyBorder="1" applyAlignment="1">
      <alignment wrapText="1"/>
    </xf>
    <xf numFmtId="196" fontId="28" fillId="43" borderId="0" xfId="0" applyNumberFormat="1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wrapText="1"/>
    </xf>
    <xf numFmtId="2" fontId="53" fillId="0" borderId="0" xfId="0" applyNumberFormat="1" applyFont="1" applyFill="1" applyAlignment="1">
      <alignment wrapText="1"/>
    </xf>
    <xf numFmtId="0" fontId="24" fillId="0" borderId="0" xfId="0" applyFont="1" applyFill="1" applyAlignment="1">
      <alignment horizontal="right"/>
    </xf>
    <xf numFmtId="196" fontId="24" fillId="0" borderId="0" xfId="0" applyNumberFormat="1" applyFont="1" applyFill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>
      <alignment horizontal="center" wrapText="1"/>
    </xf>
    <xf numFmtId="0" fontId="3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196" fontId="0" fillId="0" borderId="0" xfId="0" applyNumberFormat="1" applyFont="1" applyFill="1" applyBorder="1" applyAlignment="1">
      <alignment horizontal="center" wrapText="1"/>
    </xf>
    <xf numFmtId="0" fontId="24" fillId="42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top" wrapText="1"/>
    </xf>
    <xf numFmtId="49" fontId="47" fillId="19" borderId="16" xfId="0" applyNumberFormat="1" applyFont="1" applyFill="1" applyBorder="1" applyAlignment="1" applyProtection="1">
      <alignment horizontal="center" vertical="center"/>
      <protection/>
    </xf>
    <xf numFmtId="0" fontId="47" fillId="19" borderId="18" xfId="0" applyFont="1" applyFill="1" applyBorder="1" applyAlignment="1">
      <alignment horizontal="left" vertical="center" wrapText="1"/>
    </xf>
    <xf numFmtId="1" fontId="47" fillId="19" borderId="11" xfId="0" applyNumberFormat="1" applyFont="1" applyFill="1" applyBorder="1" applyAlignment="1">
      <alignment horizontal="right" vertical="center" wrapText="1"/>
    </xf>
    <xf numFmtId="1" fontId="47" fillId="19" borderId="15" xfId="0" applyNumberFormat="1" applyFont="1" applyFill="1" applyBorder="1" applyAlignment="1">
      <alignment horizontal="right" vertical="center" wrapText="1"/>
    </xf>
    <xf numFmtId="1" fontId="47" fillId="19" borderId="19" xfId="0" applyNumberFormat="1" applyFont="1" applyFill="1" applyBorder="1" applyAlignment="1">
      <alignment horizontal="right" vertical="center" wrapText="1"/>
    </xf>
    <xf numFmtId="196" fontId="34" fillId="19" borderId="11" xfId="0" applyNumberFormat="1" applyFont="1" applyFill="1" applyBorder="1" applyAlignment="1">
      <alignment vertical="center" wrapText="1"/>
    </xf>
    <xf numFmtId="1" fontId="47" fillId="19" borderId="21" xfId="0" applyNumberFormat="1" applyFont="1" applyFill="1" applyBorder="1" applyAlignment="1">
      <alignment horizontal="center" vertical="center" wrapText="1"/>
    </xf>
    <xf numFmtId="0" fontId="35" fillId="19" borderId="22" xfId="71" applyFont="1" applyFill="1" applyBorder="1" applyAlignment="1" applyProtection="1">
      <alignment horizontal="center" vertical="center" wrapText="1"/>
      <protection/>
    </xf>
    <xf numFmtId="49" fontId="34" fillId="0" borderId="16" xfId="0" applyNumberFormat="1" applyFont="1" applyFill="1" applyBorder="1" applyAlignment="1" applyProtection="1">
      <alignment horizontal="center" vertical="center"/>
      <protection/>
    </xf>
    <xf numFmtId="0" fontId="34" fillId="0" borderId="18" xfId="0" applyFont="1" applyFill="1" applyBorder="1" applyAlignment="1" applyProtection="1">
      <alignment horizontal="left" vertical="center" wrapText="1"/>
      <protection/>
    </xf>
    <xf numFmtId="1" fontId="34" fillId="0" borderId="15" xfId="0" applyNumberFormat="1" applyFont="1" applyFill="1" applyBorder="1" applyAlignment="1">
      <alignment horizontal="right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 applyProtection="1">
      <alignment horizontal="left" vertical="center" wrapText="1"/>
      <protection/>
    </xf>
    <xf numFmtId="1" fontId="34" fillId="0" borderId="24" xfId="0" applyNumberFormat="1" applyFont="1" applyFill="1" applyBorder="1" applyAlignment="1">
      <alignment horizontal="center" vertical="center" wrapText="1"/>
    </xf>
    <xf numFmtId="1" fontId="34" fillId="0" borderId="25" xfId="0" applyNumberFormat="1" applyFont="1" applyFill="1" applyBorder="1" applyAlignment="1">
      <alignment horizontal="right" vertical="center" wrapText="1"/>
    </xf>
    <xf numFmtId="1" fontId="34" fillId="0" borderId="24" xfId="0" applyNumberFormat="1" applyFont="1" applyFill="1" applyBorder="1" applyAlignment="1">
      <alignment vertical="center" wrapText="1"/>
    </xf>
    <xf numFmtId="1" fontId="34" fillId="0" borderId="14" xfId="0" applyNumberFormat="1" applyFont="1" applyFill="1" applyBorder="1" applyAlignment="1">
      <alignment vertical="center" wrapText="1"/>
    </xf>
    <xf numFmtId="1" fontId="34" fillId="0" borderId="25" xfId="0" applyNumberFormat="1" applyFont="1" applyFill="1" applyBorder="1" applyAlignment="1">
      <alignment vertical="center" wrapText="1"/>
    </xf>
    <xf numFmtId="49" fontId="47" fillId="19" borderId="24" xfId="0" applyNumberFormat="1" applyFont="1" applyFill="1" applyBorder="1" applyAlignment="1" applyProtection="1">
      <alignment horizontal="center" vertical="center"/>
      <protection/>
    </xf>
    <xf numFmtId="1" fontId="34" fillId="19" borderId="15" xfId="0" applyNumberFormat="1" applyFont="1" applyFill="1" applyBorder="1" applyAlignment="1">
      <alignment horizontal="right" vertical="center" wrapText="1"/>
    </xf>
    <xf numFmtId="1" fontId="34" fillId="19" borderId="21" xfId="0" applyNumberFormat="1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 applyProtection="1">
      <alignment horizontal="center" vertical="center"/>
      <protection/>
    </xf>
    <xf numFmtId="1" fontId="34" fillId="0" borderId="20" xfId="0" applyNumberFormat="1" applyFont="1" applyFill="1" applyBorder="1" applyAlignment="1">
      <alignment horizontal="center" vertical="center" wrapText="1"/>
    </xf>
    <xf numFmtId="1" fontId="47" fillId="19" borderId="16" xfId="0" applyNumberFormat="1" applyFont="1" applyFill="1" applyBorder="1" applyAlignment="1">
      <alignment horizontal="right" vertical="center" wrapText="1"/>
    </xf>
    <xf numFmtId="0" fontId="36" fillId="19" borderId="22" xfId="71" applyFont="1" applyFill="1" applyBorder="1" applyAlignment="1">
      <alignment horizontal="center" vertical="center" wrapText="1"/>
      <protection/>
    </xf>
    <xf numFmtId="49" fontId="34" fillId="0" borderId="16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34" fillId="0" borderId="19" xfId="0" applyFont="1" applyFill="1" applyBorder="1" applyAlignment="1">
      <alignment vertical="center" wrapText="1"/>
    </xf>
    <xf numFmtId="49" fontId="47" fillId="19" borderId="24" xfId="0" applyNumberFormat="1" applyFont="1" applyFill="1" applyBorder="1" applyAlignment="1">
      <alignment horizontal="center" vertical="center" wrapText="1"/>
    </xf>
    <xf numFmtId="0" fontId="47" fillId="19" borderId="26" xfId="0" applyFont="1" applyFill="1" applyBorder="1" applyAlignment="1" applyProtection="1">
      <alignment horizontal="left" vertical="center" wrapText="1"/>
      <protection/>
    </xf>
    <xf numFmtId="1" fontId="34" fillId="19" borderId="27" xfId="0" applyNumberFormat="1" applyFont="1" applyFill="1" applyBorder="1" applyAlignment="1">
      <alignment horizontal="center" vertical="center" wrapText="1"/>
    </xf>
    <xf numFmtId="1" fontId="34" fillId="19" borderId="28" xfId="0" applyNumberFormat="1" applyFont="1" applyFill="1" applyBorder="1" applyAlignment="1">
      <alignment horizontal="center" vertical="center" wrapText="1"/>
    </xf>
    <xf numFmtId="1" fontId="34" fillId="19" borderId="27" xfId="0" applyNumberFormat="1" applyFont="1" applyFill="1" applyBorder="1" applyAlignment="1">
      <alignment vertical="center" wrapText="1"/>
    </xf>
    <xf numFmtId="1" fontId="34" fillId="19" borderId="12" xfId="0" applyNumberFormat="1" applyFont="1" applyFill="1" applyBorder="1" applyAlignment="1">
      <alignment vertical="center" wrapText="1"/>
    </xf>
    <xf numFmtId="1" fontId="34" fillId="19" borderId="28" xfId="0" applyNumberFormat="1" applyFont="1" applyFill="1" applyBorder="1" applyAlignment="1">
      <alignment vertical="center" wrapText="1"/>
    </xf>
    <xf numFmtId="1" fontId="49" fillId="19" borderId="12" xfId="0" applyNumberFormat="1" applyFont="1" applyFill="1" applyBorder="1" applyAlignment="1">
      <alignment vertical="center" wrapText="1"/>
    </xf>
    <xf numFmtId="1" fontId="34" fillId="19" borderId="29" xfId="0" applyNumberFormat="1" applyFont="1" applyFill="1" applyBorder="1" applyAlignment="1">
      <alignment vertical="center" wrapText="1"/>
    </xf>
    <xf numFmtId="0" fontId="36" fillId="19" borderId="22" xfId="71" applyFont="1" applyFill="1" applyBorder="1" applyAlignment="1" applyProtection="1">
      <alignment horizontal="center" vertical="center" wrapText="1"/>
      <protection/>
    </xf>
    <xf numFmtId="49" fontId="47" fillId="19" borderId="16" xfId="0" applyNumberFormat="1" applyFont="1" applyFill="1" applyBorder="1" applyAlignment="1">
      <alignment horizontal="center" vertical="center" wrapText="1"/>
    </xf>
    <xf numFmtId="0" fontId="47" fillId="19" borderId="16" xfId="0" applyFont="1" applyFill="1" applyBorder="1" applyAlignment="1">
      <alignment horizontal="center" vertical="center" wrapText="1"/>
    </xf>
    <xf numFmtId="0" fontId="34" fillId="19" borderId="15" xfId="0" applyFont="1" applyFill="1" applyBorder="1" applyAlignment="1">
      <alignment horizontal="center" vertical="center" wrapText="1"/>
    </xf>
    <xf numFmtId="0" fontId="47" fillId="19" borderId="16" xfId="0" applyFont="1" applyFill="1" applyBorder="1" applyAlignment="1">
      <alignment horizontal="right" vertical="center" wrapText="1"/>
    </xf>
    <xf numFmtId="0" fontId="47" fillId="19" borderId="11" xfId="0" applyFont="1" applyFill="1" applyBorder="1" applyAlignment="1">
      <alignment horizontal="right" vertical="center" wrapText="1"/>
    </xf>
    <xf numFmtId="0" fontId="34" fillId="19" borderId="11" xfId="0" applyFont="1" applyFill="1" applyBorder="1" applyAlignment="1">
      <alignment vertical="center" wrapText="1"/>
    </xf>
    <xf numFmtId="0" fontId="47" fillId="19" borderId="19" xfId="0" applyFont="1" applyFill="1" applyBorder="1" applyAlignment="1">
      <alignment horizontal="right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vertical="center" wrapText="1"/>
    </xf>
    <xf numFmtId="1" fontId="34" fillId="0" borderId="12" xfId="0" applyNumberFormat="1" applyFont="1" applyFill="1" applyBorder="1" applyAlignment="1">
      <alignment vertical="center" wrapText="1"/>
    </xf>
    <xf numFmtId="0" fontId="35" fillId="0" borderId="22" xfId="71" applyFont="1" applyFill="1" applyBorder="1" applyAlignment="1">
      <alignment horizontal="center" vertical="center" wrapText="1"/>
      <protection/>
    </xf>
    <xf numFmtId="0" fontId="35" fillId="0" borderId="22" xfId="71" applyFont="1" applyFill="1" applyBorder="1" applyAlignment="1" applyProtection="1">
      <alignment horizontal="center" vertical="center" wrapText="1"/>
      <protection/>
    </xf>
    <xf numFmtId="0" fontId="47" fillId="19" borderId="18" xfId="0" applyFont="1" applyFill="1" applyBorder="1" applyAlignment="1" applyProtection="1">
      <alignment horizontal="left" vertical="center" wrapText="1"/>
      <protection/>
    </xf>
    <xf numFmtId="0" fontId="34" fillId="19" borderId="16" xfId="0" applyFont="1" applyFill="1" applyBorder="1" applyAlignment="1">
      <alignment horizontal="center" vertical="center" wrapText="1"/>
    </xf>
    <xf numFmtId="0" fontId="34" fillId="19" borderId="18" xfId="0" applyFont="1" applyFill="1" applyBorder="1" applyAlignment="1">
      <alignment vertical="center" wrapText="1"/>
    </xf>
    <xf numFmtId="0" fontId="34" fillId="19" borderId="16" xfId="0" applyFont="1" applyFill="1" applyBorder="1" applyAlignment="1">
      <alignment vertical="center" wrapText="1"/>
    </xf>
    <xf numFmtId="0" fontId="34" fillId="19" borderId="19" xfId="0" applyFont="1" applyFill="1" applyBorder="1" applyAlignment="1">
      <alignment vertical="center" wrapText="1"/>
    </xf>
    <xf numFmtId="0" fontId="34" fillId="19" borderId="15" xfId="0" applyFont="1" applyFill="1" applyBorder="1" applyAlignment="1">
      <alignment vertical="center" wrapText="1"/>
    </xf>
    <xf numFmtId="0" fontId="49" fillId="19" borderId="11" xfId="0" applyFont="1" applyFill="1" applyBorder="1" applyAlignment="1">
      <alignment vertical="center" wrapText="1"/>
    </xf>
    <xf numFmtId="0" fontId="47" fillId="19" borderId="15" xfId="0" applyFont="1" applyFill="1" applyBorder="1" applyAlignment="1">
      <alignment horizontal="center" vertical="center" wrapText="1"/>
    </xf>
    <xf numFmtId="1" fontId="47" fillId="19" borderId="15" xfId="0" applyNumberFormat="1" applyFont="1" applyFill="1" applyBorder="1" applyAlignment="1">
      <alignment vertical="center" wrapText="1"/>
    </xf>
    <xf numFmtId="49" fontId="34" fillId="44" borderId="24" xfId="0" applyNumberFormat="1" applyFont="1" applyFill="1" applyBorder="1" applyAlignment="1">
      <alignment horizontal="center" vertical="center" wrapText="1"/>
    </xf>
    <xf numFmtId="0" fontId="47" fillId="44" borderId="26" xfId="0" applyFont="1" applyFill="1" applyBorder="1" applyAlignment="1" applyProtection="1">
      <alignment horizontal="left" vertical="center" wrapText="1"/>
      <protection/>
    </xf>
    <xf numFmtId="1" fontId="34" fillId="44" borderId="27" xfId="0" applyNumberFormat="1" applyFont="1" applyFill="1" applyBorder="1" applyAlignment="1">
      <alignment horizontal="center" vertical="center" wrapText="1"/>
    </xf>
    <xf numFmtId="1" fontId="34" fillId="44" borderId="28" xfId="0" applyNumberFormat="1" applyFont="1" applyFill="1" applyBorder="1" applyAlignment="1">
      <alignment horizontal="center" vertical="center" wrapText="1"/>
    </xf>
    <xf numFmtId="1" fontId="34" fillId="44" borderId="27" xfId="0" applyNumberFormat="1" applyFont="1" applyFill="1" applyBorder="1" applyAlignment="1">
      <alignment vertical="center" wrapText="1"/>
    </xf>
    <xf numFmtId="1" fontId="47" fillId="44" borderId="15" xfId="0" applyNumberFormat="1" applyFont="1" applyFill="1" applyBorder="1" applyAlignment="1">
      <alignment horizontal="right" vertical="center" wrapText="1"/>
    </xf>
    <xf numFmtId="1" fontId="34" fillId="44" borderId="12" xfId="0" applyNumberFormat="1" applyFont="1" applyFill="1" applyBorder="1" applyAlignment="1">
      <alignment vertical="center" wrapText="1"/>
    </xf>
    <xf numFmtId="1" fontId="34" fillId="44" borderId="28" xfId="0" applyNumberFormat="1" applyFont="1" applyFill="1" applyBorder="1" applyAlignment="1">
      <alignment vertical="center" wrapText="1"/>
    </xf>
    <xf numFmtId="1" fontId="34" fillId="44" borderId="11" xfId="0" applyNumberFormat="1" applyFont="1" applyFill="1" applyBorder="1" applyAlignment="1">
      <alignment vertical="center" wrapText="1"/>
    </xf>
    <xf numFmtId="1" fontId="49" fillId="44" borderId="12" xfId="0" applyNumberFormat="1" applyFont="1" applyFill="1" applyBorder="1" applyAlignment="1">
      <alignment vertical="center" wrapText="1"/>
    </xf>
    <xf numFmtId="1" fontId="34" fillId="44" borderId="29" xfId="0" applyNumberFormat="1" applyFont="1" applyFill="1" applyBorder="1" applyAlignment="1">
      <alignment vertical="center" wrapText="1"/>
    </xf>
    <xf numFmtId="1" fontId="34" fillId="44" borderId="26" xfId="0" applyNumberFormat="1" applyFont="1" applyFill="1" applyBorder="1" applyAlignment="1">
      <alignment vertical="center" wrapText="1"/>
    </xf>
    <xf numFmtId="1" fontId="47" fillId="44" borderId="11" xfId="0" applyNumberFormat="1" applyFont="1" applyFill="1" applyBorder="1" applyAlignment="1">
      <alignment horizontal="right" vertical="center" wrapText="1"/>
    </xf>
    <xf numFmtId="1" fontId="34" fillId="44" borderId="20" xfId="0" applyNumberFormat="1" applyFont="1" applyFill="1" applyBorder="1" applyAlignment="1">
      <alignment horizontal="center" vertical="center" wrapText="1"/>
    </xf>
    <xf numFmtId="0" fontId="36" fillId="44" borderId="22" xfId="71" applyFont="1" applyFill="1" applyBorder="1" applyAlignment="1" applyProtection="1">
      <alignment horizontal="center" vertical="center" wrapText="1"/>
      <protection/>
    </xf>
    <xf numFmtId="0" fontId="34" fillId="0" borderId="26" xfId="0" applyFont="1" applyFill="1" applyBorder="1" applyAlignment="1" applyProtection="1">
      <alignment horizontal="left" vertical="center" wrapText="1"/>
      <protection/>
    </xf>
    <xf numFmtId="1" fontId="34" fillId="0" borderId="27" xfId="0" applyNumberFormat="1" applyFont="1" applyFill="1" applyBorder="1" applyAlignment="1">
      <alignment horizontal="center" vertical="center" wrapText="1"/>
    </xf>
    <xf numFmtId="1" fontId="34" fillId="0" borderId="28" xfId="0" applyNumberFormat="1" applyFont="1" applyFill="1" applyBorder="1" applyAlignment="1">
      <alignment horizontal="center" vertical="center" wrapText="1"/>
    </xf>
    <xf numFmtId="1" fontId="34" fillId="0" borderId="27" xfId="0" applyNumberFormat="1" applyFont="1" applyFill="1" applyBorder="1" applyAlignment="1">
      <alignment vertical="center" wrapText="1"/>
    </xf>
    <xf numFmtId="1" fontId="34" fillId="0" borderId="26" xfId="0" applyNumberFormat="1" applyFont="1" applyFill="1" applyBorder="1" applyAlignment="1">
      <alignment vertical="center" wrapText="1"/>
    </xf>
    <xf numFmtId="1" fontId="34" fillId="0" borderId="28" xfId="0" applyNumberFormat="1" applyFont="1" applyFill="1" applyBorder="1" applyAlignment="1">
      <alignment vertical="center" wrapText="1"/>
    </xf>
    <xf numFmtId="1" fontId="49" fillId="0" borderId="12" xfId="0" applyNumberFormat="1" applyFont="1" applyFill="1" applyBorder="1" applyAlignment="1">
      <alignment vertical="center" wrapText="1"/>
    </xf>
    <xf numFmtId="1" fontId="34" fillId="0" borderId="29" xfId="0" applyNumberFormat="1" applyFont="1" applyFill="1" applyBorder="1" applyAlignment="1">
      <alignment vertical="center" wrapText="1"/>
    </xf>
    <xf numFmtId="0" fontId="34" fillId="19" borderId="14" xfId="0" applyFont="1" applyFill="1" applyBorder="1" applyAlignment="1">
      <alignment vertical="center" wrapText="1"/>
    </xf>
    <xf numFmtId="0" fontId="34" fillId="19" borderId="19" xfId="0" applyFont="1" applyFill="1" applyBorder="1" applyAlignment="1">
      <alignment vertical="center"/>
    </xf>
    <xf numFmtId="0" fontId="34" fillId="19" borderId="11" xfId="0" applyFont="1" applyFill="1" applyBorder="1" applyAlignment="1">
      <alignment vertical="center"/>
    </xf>
    <xf numFmtId="1" fontId="34" fillId="19" borderId="11" xfId="0" applyNumberFormat="1" applyFont="1" applyFill="1" applyBorder="1" applyAlignment="1">
      <alignment vertical="center"/>
    </xf>
    <xf numFmtId="1" fontId="34" fillId="19" borderId="15" xfId="0" applyNumberFormat="1" applyFont="1" applyFill="1" applyBorder="1" applyAlignment="1">
      <alignment vertical="center"/>
    </xf>
    <xf numFmtId="0" fontId="34" fillId="0" borderId="19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1" fontId="34" fillId="0" borderId="11" xfId="0" applyNumberFormat="1" applyFont="1" applyFill="1" applyBorder="1" applyAlignment="1">
      <alignment vertical="center"/>
    </xf>
    <xf numFmtId="1" fontId="34" fillId="0" borderId="15" xfId="0" applyNumberFormat="1" applyFont="1" applyFill="1" applyBorder="1" applyAlignment="1">
      <alignment vertical="center"/>
    </xf>
    <xf numFmtId="1" fontId="34" fillId="19" borderId="26" xfId="0" applyNumberFormat="1" applyFont="1" applyFill="1" applyBorder="1" applyAlignment="1">
      <alignment vertical="center" wrapText="1"/>
    </xf>
    <xf numFmtId="49" fontId="47" fillId="45" borderId="24" xfId="0" applyNumberFormat="1" applyFont="1" applyFill="1" applyBorder="1" applyAlignment="1" applyProtection="1">
      <alignment horizontal="center" vertical="center"/>
      <protection/>
    </xf>
    <xf numFmtId="0" fontId="48" fillId="45" borderId="23" xfId="0" applyFont="1" applyFill="1" applyBorder="1" applyAlignment="1" applyProtection="1">
      <alignment horizontal="left" vertical="center" wrapText="1"/>
      <protection/>
    </xf>
    <xf numFmtId="0" fontId="47" fillId="45" borderId="24" xfId="0" applyFont="1" applyFill="1" applyBorder="1" applyAlignment="1">
      <alignment horizontal="center" vertical="center" wrapText="1"/>
    </xf>
    <xf numFmtId="0" fontId="47" fillId="45" borderId="15" xfId="0" applyFont="1" applyFill="1" applyBorder="1" applyAlignment="1">
      <alignment horizontal="center" vertical="center" wrapText="1"/>
    </xf>
    <xf numFmtId="1" fontId="23" fillId="45" borderId="19" xfId="0" applyNumberFormat="1" applyFont="1" applyFill="1" applyBorder="1" applyAlignment="1">
      <alignment vertical="center" wrapText="1"/>
    </xf>
    <xf numFmtId="1" fontId="23" fillId="45" borderId="15" xfId="0" applyNumberFormat="1" applyFont="1" applyFill="1" applyBorder="1" applyAlignment="1">
      <alignment vertical="center" wrapText="1"/>
    </xf>
    <xf numFmtId="1" fontId="23" fillId="45" borderId="11" xfId="0" applyNumberFormat="1" applyFont="1" applyFill="1" applyBorder="1" applyAlignment="1">
      <alignment vertical="center" wrapText="1"/>
    </xf>
    <xf numFmtId="1" fontId="23" fillId="45" borderId="30" xfId="0" applyNumberFormat="1" applyFont="1" applyFill="1" applyBorder="1" applyAlignment="1">
      <alignment horizontal="center" vertical="center" wrapText="1"/>
    </xf>
    <xf numFmtId="0" fontId="36" fillId="45" borderId="22" xfId="71" applyFont="1" applyFill="1" applyBorder="1" applyAlignment="1" applyProtection="1">
      <alignment horizontal="center" vertical="center" wrapText="1"/>
      <protection/>
    </xf>
    <xf numFmtId="1" fontId="47" fillId="19" borderId="20" xfId="0" applyNumberFormat="1" applyFont="1" applyFill="1" applyBorder="1" applyAlignment="1">
      <alignment horizontal="right" vertical="center" wrapText="1"/>
    </xf>
    <xf numFmtId="1" fontId="47" fillId="19" borderId="21" xfId="0" applyNumberFormat="1" applyFont="1" applyFill="1" applyBorder="1" applyAlignment="1">
      <alignment horizontal="right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19" borderId="22" xfId="71" applyFont="1" applyFill="1" applyBorder="1" applyAlignment="1">
      <alignment horizontal="center" vertical="center" wrapText="1"/>
      <protection/>
    </xf>
    <xf numFmtId="196" fontId="34" fillId="0" borderId="16" xfId="0" applyNumberFormat="1" applyFont="1" applyFill="1" applyBorder="1" applyAlignment="1">
      <alignment horizontal="center" vertical="center" wrapText="1"/>
    </xf>
    <xf numFmtId="1" fontId="34" fillId="19" borderId="14" xfId="0" applyNumberFormat="1" applyFont="1" applyFill="1" applyBorder="1" applyAlignment="1">
      <alignment vertical="center" wrapText="1"/>
    </xf>
    <xf numFmtId="0" fontId="49" fillId="19" borderId="12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vertical="center" wrapText="1"/>
    </xf>
    <xf numFmtId="0" fontId="35" fillId="19" borderId="22" xfId="0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center" wrapText="1"/>
    </xf>
    <xf numFmtId="1" fontId="34" fillId="0" borderId="25" xfId="0" applyNumberFormat="1" applyFont="1" applyFill="1" applyBorder="1" applyAlignment="1">
      <alignment horizontal="center" vertical="center" wrapText="1"/>
    </xf>
    <xf numFmtId="1" fontId="34" fillId="0" borderId="17" xfId="0" applyNumberFormat="1" applyFont="1" applyFill="1" applyBorder="1" applyAlignment="1">
      <alignment vertical="center" wrapText="1"/>
    </xf>
    <xf numFmtId="1" fontId="49" fillId="0" borderId="14" xfId="0" applyNumberFormat="1" applyFont="1" applyFill="1" applyBorder="1" applyAlignment="1">
      <alignment vertical="center" wrapText="1"/>
    </xf>
    <xf numFmtId="1" fontId="34" fillId="0" borderId="31" xfId="0" applyNumberFormat="1" applyFont="1" applyFill="1" applyBorder="1" applyAlignment="1">
      <alignment vertical="center" wrapText="1"/>
    </xf>
    <xf numFmtId="0" fontId="49" fillId="19" borderId="14" xfId="0" applyFont="1" applyFill="1" applyBorder="1" applyAlignment="1">
      <alignment vertical="center" wrapText="1"/>
    </xf>
    <xf numFmtId="1" fontId="34" fillId="19" borderId="31" xfId="0" applyNumberFormat="1" applyFont="1" applyFill="1" applyBorder="1" applyAlignment="1">
      <alignment vertical="center" wrapText="1"/>
    </xf>
    <xf numFmtId="49" fontId="34" fillId="0" borderId="32" xfId="0" applyNumberFormat="1" applyFont="1" applyFill="1" applyBorder="1" applyAlignment="1" applyProtection="1">
      <alignment horizontal="center" vertical="center"/>
      <protection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vertical="center" wrapText="1"/>
    </xf>
    <xf numFmtId="0" fontId="34" fillId="0" borderId="27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vertical="center" wrapText="1"/>
    </xf>
    <xf numFmtId="0" fontId="34" fillId="0" borderId="28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1" fontId="34" fillId="0" borderId="13" xfId="0" applyNumberFormat="1" applyFont="1" applyFill="1" applyBorder="1" applyAlignment="1">
      <alignment vertical="center" wrapText="1"/>
    </xf>
    <xf numFmtId="0" fontId="34" fillId="0" borderId="29" xfId="0" applyFont="1" applyFill="1" applyBorder="1" applyAlignment="1">
      <alignment vertical="center" wrapText="1"/>
    </xf>
    <xf numFmtId="1" fontId="34" fillId="0" borderId="33" xfId="0" applyNumberFormat="1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49" fontId="47" fillId="19" borderId="35" xfId="0" applyNumberFormat="1" applyFont="1" applyFill="1" applyBorder="1" applyAlignment="1">
      <alignment horizontal="center" vertical="center" wrapText="1"/>
    </xf>
    <xf numFmtId="0" fontId="47" fillId="19" borderId="36" xfId="0" applyFont="1" applyFill="1" applyBorder="1" applyAlignment="1">
      <alignment horizontal="left" vertical="center" wrapText="1"/>
    </xf>
    <xf numFmtId="0" fontId="34" fillId="19" borderId="35" xfId="0" applyFont="1" applyFill="1" applyBorder="1" applyAlignment="1">
      <alignment horizontal="center" vertical="center" wrapText="1"/>
    </xf>
    <xf numFmtId="0" fontId="34" fillId="19" borderId="37" xfId="0" applyFont="1" applyFill="1" applyBorder="1" applyAlignment="1">
      <alignment horizontal="center" vertical="center" wrapText="1"/>
    </xf>
    <xf numFmtId="0" fontId="47" fillId="19" borderId="35" xfId="0" applyFont="1" applyFill="1" applyBorder="1" applyAlignment="1">
      <alignment horizontal="right" vertical="center" wrapText="1"/>
    </xf>
    <xf numFmtId="1" fontId="47" fillId="19" borderId="37" xfId="0" applyNumberFormat="1" applyFont="1" applyFill="1" applyBorder="1" applyAlignment="1">
      <alignment horizontal="right" vertical="center" wrapText="1"/>
    </xf>
    <xf numFmtId="0" fontId="47" fillId="19" borderId="38" xfId="0" applyFont="1" applyFill="1" applyBorder="1" applyAlignment="1">
      <alignment horizontal="right" vertical="center" wrapText="1"/>
    </xf>
    <xf numFmtId="1" fontId="47" fillId="19" borderId="38" xfId="0" applyNumberFormat="1" applyFont="1" applyFill="1" applyBorder="1" applyAlignment="1">
      <alignment horizontal="right" vertical="center" wrapText="1"/>
    </xf>
    <xf numFmtId="0" fontId="47" fillId="19" borderId="39" xfId="0" applyFont="1" applyFill="1" applyBorder="1" applyAlignment="1">
      <alignment horizontal="right" vertical="center" wrapText="1"/>
    </xf>
    <xf numFmtId="1" fontId="47" fillId="19" borderId="40" xfId="0" applyNumberFormat="1" applyFont="1" applyFill="1" applyBorder="1" applyAlignment="1">
      <alignment horizontal="center" vertical="center" wrapText="1"/>
    </xf>
    <xf numFmtId="0" fontId="35" fillId="19" borderId="41" xfId="71" applyFont="1" applyFill="1" applyBorder="1" applyAlignment="1" applyProtection="1">
      <alignment horizontal="center" vertical="center" wrapText="1"/>
      <protection/>
    </xf>
    <xf numFmtId="0" fontId="34" fillId="0" borderId="23" xfId="0" applyFont="1" applyFill="1" applyBorder="1" applyAlignment="1">
      <alignment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1" fontId="34" fillId="0" borderId="24" xfId="0" applyNumberFormat="1" applyFont="1" applyFill="1" applyBorder="1" applyAlignment="1">
      <alignment horizontal="right" vertical="center" wrapText="1"/>
    </xf>
    <xf numFmtId="0" fontId="34" fillId="0" borderId="23" xfId="0" applyFont="1" applyFill="1" applyBorder="1" applyAlignment="1">
      <alignment horizontal="right" vertical="center" wrapText="1"/>
    </xf>
    <xf numFmtId="0" fontId="34" fillId="0" borderId="24" xfId="0" applyFont="1" applyFill="1" applyBorder="1" applyAlignment="1">
      <alignment horizontal="right" vertical="center" wrapText="1"/>
    </xf>
    <xf numFmtId="0" fontId="34" fillId="0" borderId="14" xfId="0" applyFont="1" applyFill="1" applyBorder="1" applyAlignment="1">
      <alignment horizontal="right" vertical="center" wrapText="1"/>
    </xf>
    <xf numFmtId="0" fontId="34" fillId="0" borderId="25" xfId="0" applyFont="1" applyFill="1" applyBorder="1" applyAlignment="1">
      <alignment horizontal="right" vertical="center" wrapText="1"/>
    </xf>
    <xf numFmtId="0" fontId="49" fillId="0" borderId="14" xfId="0" applyFont="1" applyFill="1" applyBorder="1" applyAlignment="1">
      <alignment horizontal="right" vertical="center" wrapText="1"/>
    </xf>
    <xf numFmtId="1" fontId="34" fillId="0" borderId="14" xfId="0" applyNumberFormat="1" applyFont="1" applyFill="1" applyBorder="1" applyAlignment="1">
      <alignment horizontal="right" vertical="center" wrapText="1"/>
    </xf>
    <xf numFmtId="1" fontId="34" fillId="0" borderId="31" xfId="0" applyNumberFormat="1" applyFont="1" applyFill="1" applyBorder="1" applyAlignment="1">
      <alignment horizontal="right" vertical="center" wrapText="1"/>
    </xf>
    <xf numFmtId="0" fontId="49" fillId="0" borderId="14" xfId="0" applyFont="1" applyFill="1" applyBorder="1" applyAlignment="1">
      <alignment vertical="center" wrapText="1"/>
    </xf>
    <xf numFmtId="1" fontId="34" fillId="0" borderId="30" xfId="0" applyNumberFormat="1" applyFont="1" applyFill="1" applyBorder="1" applyAlignment="1">
      <alignment horizontal="center" vertical="center" wrapText="1"/>
    </xf>
    <xf numFmtId="49" fontId="34" fillId="0" borderId="42" xfId="0" applyNumberFormat="1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right" vertical="center" wrapText="1"/>
    </xf>
    <xf numFmtId="0" fontId="34" fillId="0" borderId="42" xfId="0" applyFont="1" applyFill="1" applyBorder="1" applyAlignment="1">
      <alignment vertical="center" wrapText="1"/>
    </xf>
    <xf numFmtId="0" fontId="34" fillId="0" borderId="45" xfId="0" applyFont="1" applyFill="1" applyBorder="1" applyAlignment="1">
      <alignment vertical="center" wrapText="1"/>
    </xf>
    <xf numFmtId="1" fontId="47" fillId="0" borderId="44" xfId="0" applyNumberFormat="1" applyFont="1" applyFill="1" applyBorder="1" applyAlignment="1">
      <alignment horizontal="right" vertical="center" wrapText="1"/>
    </xf>
    <xf numFmtId="0" fontId="47" fillId="0" borderId="42" xfId="0" applyFont="1" applyFill="1" applyBorder="1" applyAlignment="1">
      <alignment horizontal="right" vertical="center" wrapText="1"/>
    </xf>
    <xf numFmtId="0" fontId="47" fillId="0" borderId="45" xfId="0" applyFont="1" applyFill="1" applyBorder="1" applyAlignment="1">
      <alignment horizontal="right" vertical="center" wrapText="1"/>
    </xf>
    <xf numFmtId="1" fontId="47" fillId="0" borderId="45" xfId="0" applyNumberFormat="1" applyFont="1" applyFill="1" applyBorder="1" applyAlignment="1">
      <alignment horizontal="right" vertical="center" wrapText="1"/>
    </xf>
    <xf numFmtId="0" fontId="47" fillId="0" borderId="46" xfId="0" applyFont="1" applyFill="1" applyBorder="1" applyAlignment="1">
      <alignment horizontal="right" vertical="center" wrapText="1"/>
    </xf>
    <xf numFmtId="0" fontId="34" fillId="0" borderId="46" xfId="0" applyFont="1" applyFill="1" applyBorder="1" applyAlignment="1">
      <alignment horizontal="right" vertical="center" wrapText="1"/>
    </xf>
    <xf numFmtId="0" fontId="34" fillId="0" borderId="45" xfId="0" applyFont="1" applyFill="1" applyBorder="1" applyAlignment="1">
      <alignment horizontal="right" vertical="center" wrapText="1"/>
    </xf>
    <xf numFmtId="0" fontId="49" fillId="0" borderId="45" xfId="0" applyFont="1" applyFill="1" applyBorder="1" applyAlignment="1">
      <alignment vertical="center" wrapText="1"/>
    </xf>
    <xf numFmtId="1" fontId="34" fillId="0" borderId="45" xfId="0" applyNumberFormat="1" applyFont="1" applyFill="1" applyBorder="1" applyAlignment="1">
      <alignment vertical="center" wrapText="1"/>
    </xf>
    <xf numFmtId="1" fontId="34" fillId="0" borderId="44" xfId="0" applyNumberFormat="1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1" fontId="47" fillId="0" borderId="47" xfId="0" applyNumberFormat="1" applyFont="1" applyFill="1" applyBorder="1" applyAlignment="1">
      <alignment horizontal="right" vertical="center" wrapText="1"/>
    </xf>
    <xf numFmtId="1" fontId="47" fillId="0" borderId="48" xfId="0" applyNumberFormat="1" applyFont="1" applyFill="1" applyBorder="1" applyAlignment="1">
      <alignment horizontal="center" vertical="center" wrapText="1"/>
    </xf>
    <xf numFmtId="49" fontId="47" fillId="19" borderId="49" xfId="0" applyNumberFormat="1" applyFont="1" applyFill="1" applyBorder="1" applyAlignment="1">
      <alignment horizontal="center" vertical="center" wrapText="1"/>
    </xf>
    <xf numFmtId="0" fontId="47" fillId="19" borderId="50" xfId="0" applyFont="1" applyFill="1" applyBorder="1" applyAlignment="1">
      <alignment horizontal="left" vertical="center" wrapText="1"/>
    </xf>
    <xf numFmtId="0" fontId="34" fillId="19" borderId="49" xfId="0" applyFont="1" applyFill="1" applyBorder="1" applyAlignment="1">
      <alignment horizontal="center" vertical="center" wrapText="1"/>
    </xf>
    <xf numFmtId="0" fontId="34" fillId="19" borderId="51" xfId="0" applyFont="1" applyFill="1" applyBorder="1" applyAlignment="1">
      <alignment horizontal="center" vertical="center" wrapText="1"/>
    </xf>
    <xf numFmtId="0" fontId="47" fillId="19" borderId="49" xfId="0" applyFont="1" applyFill="1" applyBorder="1" applyAlignment="1">
      <alignment horizontal="right" vertical="center" wrapText="1"/>
    </xf>
    <xf numFmtId="1" fontId="47" fillId="19" borderId="51" xfId="0" applyNumberFormat="1" applyFont="1" applyFill="1" applyBorder="1" applyAlignment="1">
      <alignment horizontal="right" vertical="center" wrapText="1"/>
    </xf>
    <xf numFmtId="0" fontId="47" fillId="19" borderId="47" xfId="0" applyFont="1" applyFill="1" applyBorder="1" applyAlignment="1">
      <alignment horizontal="right" vertical="center" wrapText="1"/>
    </xf>
    <xf numFmtId="1" fontId="47" fillId="19" borderId="47" xfId="0" applyNumberFormat="1" applyFont="1" applyFill="1" applyBorder="1" applyAlignment="1">
      <alignment horizontal="right" vertical="center" wrapText="1"/>
    </xf>
    <xf numFmtId="0" fontId="47" fillId="19" borderId="52" xfId="0" applyFont="1" applyFill="1" applyBorder="1" applyAlignment="1">
      <alignment horizontal="right" vertical="center" wrapText="1"/>
    </xf>
    <xf numFmtId="0" fontId="47" fillId="19" borderId="36" xfId="0" applyFont="1" applyFill="1" applyBorder="1" applyAlignment="1">
      <alignment horizontal="right" vertical="center" wrapText="1"/>
    </xf>
    <xf numFmtId="1" fontId="34" fillId="0" borderId="16" xfId="0" applyNumberFormat="1" applyFont="1" applyFill="1" applyBorder="1" applyAlignment="1">
      <alignment horizontal="right" vertical="center" wrapText="1"/>
    </xf>
    <xf numFmtId="0" fontId="34" fillId="0" borderId="11" xfId="0" applyFont="1" applyFill="1" applyBorder="1" applyAlignment="1">
      <alignment horizontal="right" vertical="center" wrapText="1"/>
    </xf>
    <xf numFmtId="0" fontId="34" fillId="0" borderId="16" xfId="0" applyFont="1" applyFill="1" applyBorder="1" applyAlignment="1">
      <alignment horizontal="right" vertical="center" wrapText="1"/>
    </xf>
    <xf numFmtId="0" fontId="34" fillId="0" borderId="15" xfId="0" applyFont="1" applyFill="1" applyBorder="1" applyAlignment="1">
      <alignment horizontal="right" vertical="center" wrapText="1"/>
    </xf>
    <xf numFmtId="0" fontId="49" fillId="0" borderId="11" xfId="0" applyFont="1" applyFill="1" applyBorder="1" applyAlignment="1">
      <alignment horizontal="right" vertical="center" wrapText="1"/>
    </xf>
    <xf numFmtId="0" fontId="34" fillId="0" borderId="31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" fontId="34" fillId="0" borderId="19" xfId="0" applyNumberFormat="1" applyFont="1" applyFill="1" applyBorder="1" applyAlignment="1">
      <alignment horizontal="right" vertical="center" wrapText="1"/>
    </xf>
    <xf numFmtId="0" fontId="34" fillId="0" borderId="19" xfId="0" applyFont="1" applyFill="1" applyBorder="1" applyAlignment="1">
      <alignment horizontal="right" vertical="center" wrapText="1"/>
    </xf>
    <xf numFmtId="1" fontId="34" fillId="0" borderId="11" xfId="0" applyNumberFormat="1" applyFont="1" applyFill="1" applyBorder="1" applyAlignment="1">
      <alignment horizontal="right" vertical="center" wrapText="1"/>
    </xf>
    <xf numFmtId="0" fontId="34" fillId="0" borderId="44" xfId="0" applyFont="1" applyFill="1" applyBorder="1" applyAlignment="1">
      <alignment vertical="center" wrapText="1"/>
    </xf>
    <xf numFmtId="0" fontId="34" fillId="0" borderId="43" xfId="0" applyFont="1" applyFill="1" applyBorder="1" applyAlignment="1">
      <alignment horizontal="right" vertical="center" wrapText="1"/>
    </xf>
    <xf numFmtId="1" fontId="23" fillId="0" borderId="14" xfId="0" applyNumberFormat="1" applyFont="1" applyFill="1" applyBorder="1" applyAlignment="1">
      <alignment horizontal="right" vertical="center" wrapText="1"/>
    </xf>
    <xf numFmtId="1" fontId="23" fillId="0" borderId="25" xfId="0" applyNumberFormat="1" applyFont="1" applyFill="1" applyBorder="1" applyAlignment="1">
      <alignment horizontal="right" vertical="center" wrapText="1"/>
    </xf>
    <xf numFmtId="196" fontId="34" fillId="0" borderId="21" xfId="0" applyNumberFormat="1" applyFont="1" applyFill="1" applyBorder="1" applyAlignment="1">
      <alignment horizontal="center" vertical="center" wrapText="1"/>
    </xf>
    <xf numFmtId="196" fontId="35" fillId="0" borderId="22" xfId="0" applyNumberFormat="1" applyFont="1" applyFill="1" applyBorder="1" applyAlignment="1">
      <alignment horizontal="center" vertical="center" wrapText="1"/>
    </xf>
    <xf numFmtId="1" fontId="34" fillId="0" borderId="44" xfId="0" applyNumberFormat="1" applyFont="1" applyFill="1" applyBorder="1" applyAlignment="1">
      <alignment horizontal="center" vertical="center" wrapText="1"/>
    </xf>
    <xf numFmtId="196" fontId="34" fillId="0" borderId="53" xfId="0" applyNumberFormat="1" applyFont="1" applyFill="1" applyBorder="1" applyAlignment="1">
      <alignment horizontal="center" vertical="center" wrapText="1"/>
    </xf>
    <xf numFmtId="196" fontId="35" fillId="0" borderId="54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29" fillId="0" borderId="11" xfId="71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71" applyFont="1" applyAlignment="1">
      <alignment horizontal="left"/>
      <protection/>
    </xf>
    <xf numFmtId="49" fontId="47" fillId="0" borderId="24" xfId="0" applyNumberFormat="1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vertical="center" wrapText="1"/>
    </xf>
    <xf numFmtId="1" fontId="23" fillId="0" borderId="25" xfId="0" applyNumberFormat="1" applyFont="1" applyFill="1" applyBorder="1" applyAlignment="1">
      <alignment vertical="center" wrapText="1"/>
    </xf>
    <xf numFmtId="1" fontId="47" fillId="0" borderId="24" xfId="0" applyNumberFormat="1" applyFont="1" applyFill="1" applyBorder="1" applyAlignment="1">
      <alignment horizontal="right" vertical="center" wrapText="1"/>
    </xf>
    <xf numFmtId="1" fontId="47" fillId="0" borderId="14" xfId="0" applyNumberFormat="1" applyFont="1" applyFill="1" applyBorder="1" applyAlignment="1">
      <alignment horizontal="right" vertical="center" wrapText="1"/>
    </xf>
    <xf numFmtId="1" fontId="47" fillId="0" borderId="25" xfId="0" applyNumberFormat="1" applyFont="1" applyFill="1" applyBorder="1" applyAlignment="1">
      <alignment horizontal="right" vertical="center" wrapText="1"/>
    </xf>
    <xf numFmtId="1" fontId="47" fillId="0" borderId="31" xfId="0" applyNumberFormat="1" applyFont="1" applyFill="1" applyBorder="1" applyAlignment="1">
      <alignment horizontal="right" vertical="center" wrapText="1"/>
    </xf>
    <xf numFmtId="1" fontId="47" fillId="0" borderId="23" xfId="0" applyNumberFormat="1" applyFont="1" applyFill="1" applyBorder="1" applyAlignment="1">
      <alignment horizontal="right" vertical="center" wrapText="1"/>
    </xf>
    <xf numFmtId="0" fontId="36" fillId="0" borderId="55" xfId="71" applyFont="1" applyFill="1" applyBorder="1" applyAlignment="1">
      <alignment horizontal="center" vertical="center" wrapText="1"/>
      <protection/>
    </xf>
    <xf numFmtId="0" fontId="34" fillId="0" borderId="42" xfId="0" applyFont="1" applyFill="1" applyBorder="1" applyAlignment="1">
      <alignment horizontal="center" vertical="center" textRotation="90" wrapText="1"/>
    </xf>
    <xf numFmtId="0" fontId="34" fillId="0" borderId="44" xfId="0" applyFont="1" applyFill="1" applyBorder="1" applyAlignment="1">
      <alignment horizontal="center" vertical="center" textRotation="90" wrapText="1"/>
    </xf>
    <xf numFmtId="0" fontId="34" fillId="0" borderId="45" xfId="0" applyFont="1" applyFill="1" applyBorder="1" applyAlignment="1">
      <alignment horizontal="center" vertical="center" textRotation="90" wrapText="1"/>
    </xf>
    <xf numFmtId="0" fontId="49" fillId="0" borderId="45" xfId="0" applyFont="1" applyFill="1" applyBorder="1" applyAlignment="1">
      <alignment horizontal="center" vertical="center" textRotation="90" wrapText="1"/>
    </xf>
    <xf numFmtId="0" fontId="34" fillId="0" borderId="46" xfId="0" applyFont="1" applyFill="1" applyBorder="1" applyAlignment="1">
      <alignment horizontal="center" vertical="center" textRotation="90" wrapText="1"/>
    </xf>
    <xf numFmtId="0" fontId="34" fillId="0" borderId="43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right" vertical="center" wrapText="1"/>
    </xf>
    <xf numFmtId="0" fontId="34" fillId="0" borderId="27" xfId="0" applyFont="1" applyFill="1" applyBorder="1" applyAlignment="1">
      <alignment horizontal="right" vertical="center" wrapText="1"/>
    </xf>
    <xf numFmtId="0" fontId="34" fillId="0" borderId="12" xfId="0" applyFont="1" applyFill="1" applyBorder="1" applyAlignment="1">
      <alignment horizontal="right" vertical="center" wrapText="1"/>
    </xf>
    <xf numFmtId="0" fontId="34" fillId="0" borderId="29" xfId="0" applyFont="1" applyFill="1" applyBorder="1" applyAlignment="1">
      <alignment horizontal="right" vertical="center" wrapText="1"/>
    </xf>
    <xf numFmtId="1" fontId="34" fillId="0" borderId="12" xfId="0" applyNumberFormat="1" applyFont="1" applyFill="1" applyBorder="1" applyAlignment="1">
      <alignment horizontal="right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right" vertical="center" wrapText="1"/>
    </xf>
    <xf numFmtId="0" fontId="49" fillId="0" borderId="12" xfId="0" applyFont="1" applyFill="1" applyBorder="1" applyAlignment="1">
      <alignment horizontal="right" vertical="center" wrapText="1"/>
    </xf>
    <xf numFmtId="1" fontId="34" fillId="0" borderId="28" xfId="0" applyNumberFormat="1" applyFont="1" applyFill="1" applyBorder="1" applyAlignment="1">
      <alignment horizontal="right" vertical="center" wrapText="1"/>
    </xf>
    <xf numFmtId="0" fontId="34" fillId="0" borderId="31" xfId="0" applyFont="1" applyFill="1" applyBorder="1" applyAlignment="1">
      <alignment horizontal="right" vertical="center" wrapText="1"/>
    </xf>
    <xf numFmtId="1" fontId="34" fillId="0" borderId="34" xfId="0" applyNumberFormat="1" applyFont="1" applyFill="1" applyBorder="1" applyAlignment="1">
      <alignment horizontal="right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54" fillId="0" borderId="57" xfId="0" applyFont="1" applyFill="1" applyBorder="1" applyAlignment="1">
      <alignment horizontal="right" vertical="center" wrapText="1"/>
    </xf>
    <xf numFmtId="0" fontId="54" fillId="0" borderId="58" xfId="0" applyFont="1" applyFill="1" applyBorder="1" applyAlignment="1">
      <alignment horizontal="right" vertical="center" wrapText="1"/>
    </xf>
    <xf numFmtId="1" fontId="23" fillId="0" borderId="59" xfId="0" applyNumberFormat="1" applyFont="1" applyFill="1" applyBorder="1" applyAlignment="1">
      <alignment horizontal="right" vertical="center" wrapText="1"/>
    </xf>
    <xf numFmtId="1" fontId="23" fillId="0" borderId="58" xfId="0" applyNumberFormat="1" applyFont="1" applyFill="1" applyBorder="1" applyAlignment="1">
      <alignment horizontal="right" vertical="center" wrapText="1"/>
    </xf>
    <xf numFmtId="1" fontId="23" fillId="0" borderId="60" xfId="0" applyNumberFormat="1" applyFont="1" applyFill="1" applyBorder="1" applyAlignment="1">
      <alignment horizontal="right" vertical="center" wrapText="1"/>
    </xf>
    <xf numFmtId="1" fontId="23" fillId="0" borderId="61" xfId="0" applyNumberFormat="1" applyFont="1" applyFill="1" applyBorder="1" applyAlignment="1">
      <alignment horizontal="right" vertical="center" wrapText="1"/>
    </xf>
    <xf numFmtId="1" fontId="23" fillId="0" borderId="62" xfId="0" applyNumberFormat="1" applyFont="1" applyFill="1" applyBorder="1" applyAlignment="1">
      <alignment horizontal="right" vertical="center" wrapText="1"/>
    </xf>
    <xf numFmtId="1" fontId="23" fillId="0" borderId="63" xfId="0" applyNumberFormat="1" applyFont="1" applyFill="1" applyBorder="1" applyAlignment="1">
      <alignment horizontal="right" vertical="center" wrapText="1"/>
    </xf>
    <xf numFmtId="1" fontId="23" fillId="0" borderId="57" xfId="0" applyNumberFormat="1" applyFont="1" applyFill="1" applyBorder="1" applyAlignment="1">
      <alignment horizontal="right" vertical="center" wrapText="1"/>
    </xf>
    <xf numFmtId="1" fontId="47" fillId="0" borderId="64" xfId="0" applyNumberFormat="1" applyFont="1" applyFill="1" applyBorder="1" applyAlignment="1">
      <alignment horizontal="right" vertical="center" wrapText="1"/>
    </xf>
    <xf numFmtId="1" fontId="47" fillId="0" borderId="64" xfId="0" applyNumberFormat="1" applyFont="1" applyFill="1" applyBorder="1" applyAlignment="1">
      <alignment vertical="center" wrapText="1"/>
    </xf>
    <xf numFmtId="0" fontId="24" fillId="46" borderId="11" xfId="0" applyFont="1" applyFill="1" applyBorder="1" applyAlignment="1">
      <alignment horizontal="left" vertical="center" wrapText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14" fontId="24" fillId="0" borderId="0" xfId="0" applyNumberFormat="1" applyFont="1" applyAlignment="1" applyProtection="1">
      <alignment/>
      <protection hidden="1"/>
    </xf>
    <xf numFmtId="0" fontId="22" fillId="0" borderId="0" xfId="0" applyFont="1" applyAlignment="1" applyProtection="1">
      <alignment/>
      <protection/>
    </xf>
    <xf numFmtId="0" fontId="22" fillId="0" borderId="65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56" fillId="0" borderId="13" xfId="0" applyFont="1" applyBorder="1" applyAlignment="1" applyProtection="1">
      <alignment horizontal="center" wrapText="1"/>
      <protection/>
    </xf>
    <xf numFmtId="0" fontId="22" fillId="0" borderId="12" xfId="0" applyFont="1" applyBorder="1" applyAlignment="1" applyProtection="1">
      <alignment horizontal="center"/>
      <protection/>
    </xf>
    <xf numFmtId="0" fontId="22" fillId="0" borderId="66" xfId="0" applyFont="1" applyBorder="1" applyAlignment="1" applyProtection="1">
      <alignment horizontal="center"/>
      <protection/>
    </xf>
    <xf numFmtId="0" fontId="22" fillId="0" borderId="67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 horizontal="center"/>
      <protection/>
    </xf>
    <xf numFmtId="0" fontId="22" fillId="0" borderId="68" xfId="0" applyFont="1" applyBorder="1" applyAlignment="1" applyProtection="1">
      <alignment horizontal="center"/>
      <protection/>
    </xf>
    <xf numFmtId="0" fontId="22" fillId="0" borderId="69" xfId="0" applyFont="1" applyBorder="1" applyAlignment="1" applyProtection="1">
      <alignment vertical="top"/>
      <protection/>
    </xf>
    <xf numFmtId="0" fontId="22" fillId="0" borderId="70" xfId="0" applyFont="1" applyBorder="1" applyAlignment="1" applyProtection="1">
      <alignment vertical="top"/>
      <protection/>
    </xf>
    <xf numFmtId="0" fontId="56" fillId="0" borderId="70" xfId="0" applyFont="1" applyBorder="1" applyAlignment="1" applyProtection="1">
      <alignment horizontal="center" vertical="top" wrapText="1"/>
      <protection/>
    </xf>
    <xf numFmtId="0" fontId="22" fillId="0" borderId="70" xfId="0" applyFont="1" applyBorder="1" applyAlignment="1" applyProtection="1">
      <alignment horizontal="center" vertical="top"/>
      <protection/>
    </xf>
    <xf numFmtId="0" fontId="22" fillId="0" borderId="71" xfId="0" applyFont="1" applyBorder="1" applyAlignment="1" applyProtection="1">
      <alignment horizontal="center" vertical="top"/>
      <protection/>
    </xf>
    <xf numFmtId="49" fontId="24" fillId="0" borderId="68" xfId="0" applyNumberFormat="1" applyFont="1" applyFill="1" applyBorder="1" applyAlignment="1" applyProtection="1">
      <alignment horizontal="center"/>
      <protection/>
    </xf>
    <xf numFmtId="0" fontId="64" fillId="0" borderId="72" xfId="0" applyFont="1" applyFill="1" applyBorder="1" applyAlignment="1" applyProtection="1">
      <alignment/>
      <protection locked="0"/>
    </xf>
    <xf numFmtId="0" fontId="22" fillId="0" borderId="73" xfId="0" applyFont="1" applyFill="1" applyBorder="1" applyAlignment="1" applyProtection="1">
      <alignment/>
      <protection/>
    </xf>
    <xf numFmtId="49" fontId="57" fillId="0" borderId="11" xfId="0" applyNumberFormat="1" applyFont="1" applyBorder="1" applyAlignment="1" applyProtection="1">
      <alignment horizontal="center"/>
      <protection/>
    </xf>
    <xf numFmtId="0" fontId="57" fillId="0" borderId="73" xfId="0" applyFont="1" applyFill="1" applyBorder="1" applyAlignment="1" applyProtection="1">
      <alignment horizontal="center" vertical="center"/>
      <protection locked="0"/>
    </xf>
    <xf numFmtId="49" fontId="22" fillId="0" borderId="73" xfId="0" applyNumberFormat="1" applyFont="1" applyFill="1" applyBorder="1" applyAlignment="1" applyProtection="1">
      <alignment horizontal="center" vertical="center"/>
      <protection locked="0"/>
    </xf>
    <xf numFmtId="0" fontId="22" fillId="0" borderId="73" xfId="0" applyFont="1" applyFill="1" applyBorder="1" applyAlignment="1" applyProtection="1">
      <alignment/>
      <protection locked="0"/>
    </xf>
    <xf numFmtId="0" fontId="58" fillId="0" borderId="73" xfId="0" applyFont="1" applyFill="1" applyBorder="1" applyAlignment="1" applyProtection="1">
      <alignment/>
      <protection locked="0"/>
    </xf>
    <xf numFmtId="49" fontId="22" fillId="0" borderId="74" xfId="0" applyNumberFormat="1" applyFont="1" applyFill="1" applyBorder="1" applyAlignment="1" applyProtection="1">
      <alignment horizontal="center" vertical="center"/>
      <protection locked="0"/>
    </xf>
    <xf numFmtId="1" fontId="24" fillId="0" borderId="75" xfId="0" applyNumberFormat="1" applyFont="1" applyFill="1" applyBorder="1" applyAlignment="1" applyProtection="1">
      <alignment/>
      <protection hidden="1"/>
    </xf>
    <xf numFmtId="1" fontId="24" fillId="0" borderId="14" xfId="0" applyNumberFormat="1" applyFont="1" applyFill="1" applyBorder="1" applyAlignment="1" applyProtection="1">
      <alignment/>
      <protection locked="0"/>
    </xf>
    <xf numFmtId="49" fontId="24" fillId="0" borderId="76" xfId="0" applyNumberFormat="1" applyFont="1" applyFill="1" applyBorder="1" applyAlignment="1" applyProtection="1">
      <alignment horizontal="right"/>
      <protection locked="0"/>
    </xf>
    <xf numFmtId="49" fontId="24" fillId="0" borderId="76" xfId="0" applyNumberFormat="1" applyFont="1" applyFill="1" applyBorder="1" applyAlignment="1" applyProtection="1">
      <alignment horizontal="center"/>
      <protection/>
    </xf>
    <xf numFmtId="0" fontId="64" fillId="0" borderId="77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/>
    </xf>
    <xf numFmtId="0" fontId="57" fillId="42" borderId="11" xfId="0" applyFont="1" applyFill="1" applyBorder="1" applyAlignment="1" applyProtection="1">
      <alignment horizontal="center" vertical="center"/>
      <protection locked="0"/>
    </xf>
    <xf numFmtId="49" fontId="22" fillId="0" borderId="76" xfId="0" applyNumberFormat="1" applyFont="1" applyFill="1" applyBorder="1" applyAlignment="1" applyProtection="1">
      <alignment horizontal="center" vertical="center"/>
      <protection locked="0"/>
    </xf>
    <xf numFmtId="1" fontId="24" fillId="0" borderId="77" xfId="0" applyNumberFormat="1" applyFont="1" applyFill="1" applyBorder="1" applyAlignment="1" applyProtection="1">
      <alignment/>
      <protection hidden="1"/>
    </xf>
    <xf numFmtId="1" fontId="24" fillId="0" borderId="11" xfId="0" applyNumberFormat="1" applyFont="1" applyFill="1" applyBorder="1" applyAlignment="1" applyProtection="1">
      <alignment/>
      <protection locked="0"/>
    </xf>
    <xf numFmtId="0" fontId="58" fillId="0" borderId="11" xfId="0" applyFont="1" applyFill="1" applyBorder="1" applyAlignment="1" applyProtection="1">
      <alignment/>
      <protection locked="0"/>
    </xf>
    <xf numFmtId="0" fontId="57" fillId="0" borderId="11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49" fontId="24" fillId="0" borderId="11" xfId="0" applyNumberFormat="1" applyFont="1" applyFill="1" applyBorder="1" applyAlignment="1" applyProtection="1">
      <alignment horizontal="right"/>
      <protection locked="0"/>
    </xf>
    <xf numFmtId="1" fontId="24" fillId="0" borderId="76" xfId="0" applyNumberFormat="1" applyFont="1" applyFill="1" applyBorder="1" applyAlignment="1" applyProtection="1">
      <alignment/>
      <protection hidden="1"/>
    </xf>
    <xf numFmtId="0" fontId="57" fillId="0" borderId="11" xfId="0" applyFont="1" applyFill="1" applyBorder="1" applyAlignment="1" applyProtection="1">
      <alignment horizontal="center"/>
      <protection locked="0"/>
    </xf>
    <xf numFmtId="49" fontId="24" fillId="0" borderId="71" xfId="0" applyNumberFormat="1" applyFont="1" applyFill="1" applyBorder="1" applyAlignment="1" applyProtection="1">
      <alignment horizontal="center"/>
      <protection/>
    </xf>
    <xf numFmtId="0" fontId="64" fillId="0" borderId="78" xfId="0" applyFont="1" applyFill="1" applyBorder="1" applyAlignment="1" applyProtection="1">
      <alignment/>
      <protection locked="0"/>
    </xf>
    <xf numFmtId="0" fontId="22" fillId="0" borderId="79" xfId="0" applyFont="1" applyFill="1" applyBorder="1" applyAlignment="1" applyProtection="1">
      <alignment/>
      <protection/>
    </xf>
    <xf numFmtId="0" fontId="22" fillId="0" borderId="79" xfId="0" applyFont="1" applyFill="1" applyBorder="1" applyAlignment="1" applyProtection="1">
      <alignment horizontal="center"/>
      <protection/>
    </xf>
    <xf numFmtId="49" fontId="22" fillId="0" borderId="79" xfId="0" applyNumberFormat="1" applyFont="1" applyFill="1" applyBorder="1" applyAlignment="1" applyProtection="1">
      <alignment horizontal="center" vertical="center"/>
      <protection locked="0"/>
    </xf>
    <xf numFmtId="0" fontId="22" fillId="0" borderId="79" xfId="0" applyFont="1" applyFill="1" applyBorder="1" applyAlignment="1" applyProtection="1">
      <alignment/>
      <protection locked="0"/>
    </xf>
    <xf numFmtId="0" fontId="58" fillId="0" borderId="79" xfId="0" applyFont="1" applyFill="1" applyBorder="1" applyAlignment="1" applyProtection="1">
      <alignment/>
      <protection locked="0"/>
    </xf>
    <xf numFmtId="0" fontId="57" fillId="0" borderId="79" xfId="0" applyFont="1" applyFill="1" applyBorder="1" applyAlignment="1" applyProtection="1">
      <alignment horizontal="center" vertical="center"/>
      <protection locked="0"/>
    </xf>
    <xf numFmtId="0" fontId="22" fillId="0" borderId="80" xfId="0" applyFont="1" applyFill="1" applyBorder="1" applyAlignment="1" applyProtection="1">
      <alignment/>
      <protection locked="0"/>
    </xf>
    <xf numFmtId="1" fontId="24" fillId="0" borderId="78" xfId="0" applyNumberFormat="1" applyFont="1" applyFill="1" applyBorder="1" applyAlignment="1" applyProtection="1">
      <alignment/>
      <protection hidden="1"/>
    </xf>
    <xf numFmtId="49" fontId="24" fillId="0" borderId="79" xfId="0" applyNumberFormat="1" applyFont="1" applyFill="1" applyBorder="1" applyAlignment="1" applyProtection="1">
      <alignment horizontal="right"/>
      <protection locked="0"/>
    </xf>
    <xf numFmtId="1" fontId="24" fillId="0" borderId="79" xfId="0" applyNumberFormat="1" applyFont="1" applyFill="1" applyBorder="1" applyAlignment="1" applyProtection="1">
      <alignment/>
      <protection locked="0"/>
    </xf>
    <xf numFmtId="1" fontId="24" fillId="0" borderId="80" xfId="0" applyNumberFormat="1" applyFont="1" applyFill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1" fontId="28" fillId="0" borderId="81" xfId="0" applyNumberFormat="1" applyFont="1" applyFill="1" applyBorder="1" applyAlignment="1" applyProtection="1">
      <alignment/>
      <protection hidden="1"/>
    </xf>
    <xf numFmtId="1" fontId="24" fillId="0" borderId="82" xfId="0" applyNumberFormat="1" applyFont="1" applyFill="1" applyBorder="1" applyAlignment="1" applyProtection="1">
      <alignment/>
      <protection hidden="1"/>
    </xf>
    <xf numFmtId="1" fontId="28" fillId="0" borderId="83" xfId="0" applyNumberFormat="1" applyFont="1" applyBorder="1" applyAlignment="1" applyProtection="1">
      <alignment/>
      <protection hidden="1"/>
    </xf>
    <xf numFmtId="0" fontId="22" fillId="0" borderId="0" xfId="0" applyFont="1" applyAlignment="1">
      <alignment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/>
      <protection/>
    </xf>
    <xf numFmtId="0" fontId="36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8" fillId="23" borderId="0" xfId="0" applyFont="1" applyFill="1" applyAlignment="1">
      <alignment wrapText="1"/>
    </xf>
    <xf numFmtId="0" fontId="24" fillId="23" borderId="0" xfId="0" applyFont="1" applyFill="1" applyAlignment="1">
      <alignment wrapText="1"/>
    </xf>
    <xf numFmtId="0" fontId="24" fillId="0" borderId="84" xfId="0" applyFont="1" applyBorder="1" applyAlignment="1" applyProtection="1">
      <alignment horizontal="center" vertical="center" wrapText="1" shrinkToFit="1"/>
      <protection/>
    </xf>
    <xf numFmtId="0" fontId="24" fillId="0" borderId="68" xfId="0" applyFont="1" applyBorder="1" applyAlignment="1" applyProtection="1">
      <alignment horizontal="center" vertical="center" wrapText="1" shrinkToFit="1"/>
      <protection/>
    </xf>
    <xf numFmtId="0" fontId="24" fillId="0" borderId="71" xfId="0" applyFont="1" applyBorder="1" applyAlignment="1" applyProtection="1">
      <alignment horizontal="center" vertical="center" wrapText="1" shrinkToFit="1"/>
      <protection/>
    </xf>
    <xf numFmtId="0" fontId="24" fillId="0" borderId="85" xfId="0" applyFont="1" applyBorder="1" applyAlignment="1" applyProtection="1">
      <alignment horizontal="center" vertical="center"/>
      <protection/>
    </xf>
    <xf numFmtId="0" fontId="24" fillId="0" borderId="86" xfId="0" applyFont="1" applyBorder="1" applyAlignment="1" applyProtection="1">
      <alignment horizontal="center" vertical="center"/>
      <protection/>
    </xf>
    <xf numFmtId="0" fontId="24" fillId="0" borderId="87" xfId="0" applyFont="1" applyBorder="1" applyAlignment="1" applyProtection="1">
      <alignment horizontal="center" vertical="center"/>
      <protection/>
    </xf>
    <xf numFmtId="0" fontId="24" fillId="0" borderId="88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24" fillId="0" borderId="73" xfId="0" applyFont="1" applyBorder="1" applyAlignment="1" applyProtection="1">
      <alignment horizontal="center" vertical="center"/>
      <protection/>
    </xf>
    <xf numFmtId="0" fontId="24" fillId="0" borderId="74" xfId="0" applyFont="1" applyBorder="1" applyAlignment="1" applyProtection="1">
      <alignment horizontal="center" vertical="center"/>
      <protection/>
    </xf>
    <xf numFmtId="0" fontId="24" fillId="0" borderId="74" xfId="0" applyFont="1" applyBorder="1" applyAlignment="1" applyProtection="1">
      <alignment horizontal="center" vertical="center" textRotation="90" wrapText="1"/>
      <protection/>
    </xf>
    <xf numFmtId="0" fontId="24" fillId="0" borderId="76" xfId="0" applyFont="1" applyBorder="1" applyAlignment="1" applyProtection="1">
      <alignment horizontal="center" vertical="center" textRotation="90" wrapText="1"/>
      <protection/>
    </xf>
    <xf numFmtId="0" fontId="24" fillId="0" borderId="80" xfId="0" applyFont="1" applyBorder="1" applyAlignment="1" applyProtection="1">
      <alignment horizontal="center" vertical="center" textRotation="90" wrapText="1"/>
      <protection/>
    </xf>
    <xf numFmtId="0" fontId="24" fillId="0" borderId="72" xfId="0" applyFont="1" applyBorder="1" applyAlignment="1" applyProtection="1">
      <alignment horizontal="center" vertical="center" textRotation="90" wrapText="1"/>
      <protection/>
    </xf>
    <xf numFmtId="0" fontId="24" fillId="0" borderId="77" xfId="0" applyFont="1" applyBorder="1" applyAlignment="1" applyProtection="1">
      <alignment horizontal="center" vertical="center"/>
      <protection/>
    </xf>
    <xf numFmtId="0" fontId="24" fillId="0" borderId="78" xfId="0" applyFont="1" applyBorder="1" applyAlignment="1" applyProtection="1">
      <alignment horizontal="center" vertical="center"/>
      <protection/>
    </xf>
    <xf numFmtId="0" fontId="24" fillId="0" borderId="73" xfId="0" applyFont="1" applyBorder="1" applyAlignment="1" applyProtection="1">
      <alignment horizontal="center" vertical="center" textRotation="90" wrapText="1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79" xfId="0" applyFont="1" applyBorder="1" applyAlignment="1" applyProtection="1">
      <alignment horizontal="center" vertical="center"/>
      <protection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1" fontId="34" fillId="0" borderId="89" xfId="0" applyNumberFormat="1" applyFont="1" applyFill="1" applyBorder="1" applyAlignment="1">
      <alignment horizontal="center" vertical="center" wrapText="1"/>
    </xf>
    <xf numFmtId="1" fontId="34" fillId="0" borderId="20" xfId="0" applyNumberFormat="1" applyFont="1" applyFill="1" applyBorder="1" applyAlignment="1">
      <alignment horizontal="center" vertical="center" wrapText="1"/>
    </xf>
    <xf numFmtId="1" fontId="34" fillId="0" borderId="90" xfId="0" applyNumberFormat="1" applyFont="1" applyFill="1" applyBorder="1" applyAlignment="1">
      <alignment horizontal="center" vertical="center" wrapText="1"/>
    </xf>
    <xf numFmtId="1" fontId="34" fillId="0" borderId="53" xfId="0" applyNumberFormat="1" applyFont="1" applyFill="1" applyBorder="1" applyAlignment="1">
      <alignment horizontal="center" vertical="center" wrapText="1"/>
    </xf>
    <xf numFmtId="196" fontId="34" fillId="0" borderId="20" xfId="0" applyNumberFormat="1" applyFont="1" applyFill="1" applyBorder="1" applyAlignment="1">
      <alignment horizontal="center" vertical="center" wrapText="1"/>
    </xf>
    <xf numFmtId="196" fontId="34" fillId="0" borderId="21" xfId="0" applyNumberFormat="1" applyFont="1" applyFill="1" applyBorder="1" applyAlignment="1">
      <alignment horizontal="center" vertical="center" wrapText="1"/>
    </xf>
    <xf numFmtId="196" fontId="34" fillId="0" borderId="89" xfId="0" applyNumberFormat="1" applyFont="1" applyFill="1" applyBorder="1" applyAlignment="1">
      <alignment horizontal="center" vertical="center" wrapText="1"/>
    </xf>
    <xf numFmtId="0" fontId="47" fillId="0" borderId="64" xfId="0" applyFont="1" applyFill="1" applyBorder="1" applyAlignment="1">
      <alignment horizontal="center" vertical="center" textRotation="90" wrapText="1"/>
    </xf>
    <xf numFmtId="0" fontId="47" fillId="0" borderId="22" xfId="0" applyFont="1" applyFill="1" applyBorder="1" applyAlignment="1">
      <alignment horizontal="center" vertical="center" textRotation="90" wrapText="1"/>
    </xf>
    <xf numFmtId="0" fontId="47" fillId="0" borderId="54" xfId="0" applyFont="1" applyFill="1" applyBorder="1" applyAlignment="1">
      <alignment horizontal="center" vertical="center" textRotation="90" wrapText="1"/>
    </xf>
    <xf numFmtId="1" fontId="34" fillId="0" borderId="91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34" fillId="0" borderId="89" xfId="0" applyFont="1" applyFill="1" applyBorder="1" applyAlignment="1" applyProtection="1">
      <alignment horizontal="left" vertical="center" wrapText="1"/>
      <protection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90" xfId="0" applyFont="1" applyFill="1" applyBorder="1" applyAlignment="1" applyProtection="1">
      <alignment horizontal="left" vertical="center" wrapText="1"/>
      <protection/>
    </xf>
    <xf numFmtId="0" fontId="34" fillId="0" borderId="91" xfId="0" applyFont="1" applyFill="1" applyBorder="1" applyAlignment="1" applyProtection="1">
      <alignment horizontal="left" vertical="center" wrapText="1"/>
      <protection/>
    </xf>
    <xf numFmtId="0" fontId="34" fillId="0" borderId="60" xfId="0" applyFont="1" applyFill="1" applyBorder="1" applyAlignment="1" applyProtection="1">
      <alignment horizontal="left" vertical="center" wrapText="1"/>
      <protection/>
    </xf>
    <xf numFmtId="0" fontId="34" fillId="0" borderId="58" xfId="0" applyFont="1" applyFill="1" applyBorder="1" applyAlignment="1" applyProtection="1">
      <alignment horizontal="left" vertical="center" wrapText="1"/>
      <protection/>
    </xf>
    <xf numFmtId="0" fontId="34" fillId="0" borderId="18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8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textRotation="90" wrapText="1"/>
    </xf>
    <xf numFmtId="0" fontId="34" fillId="0" borderId="42" xfId="0" applyFont="1" applyFill="1" applyBorder="1" applyAlignment="1">
      <alignment horizontal="center" vertical="center" textRotation="90" wrapText="1"/>
    </xf>
    <xf numFmtId="0" fontId="34" fillId="0" borderId="11" xfId="0" applyFont="1" applyFill="1" applyBorder="1" applyAlignment="1">
      <alignment horizontal="center" vertical="center" textRotation="90" wrapText="1"/>
    </xf>
    <xf numFmtId="0" fontId="34" fillId="0" borderId="45" xfId="0" applyFont="1" applyFill="1" applyBorder="1" applyAlignment="1">
      <alignment horizontal="center" vertical="center" textRotation="90" wrapText="1"/>
    </xf>
    <xf numFmtId="0" fontId="34" fillId="0" borderId="15" xfId="0" applyFont="1" applyFill="1" applyBorder="1" applyAlignment="1">
      <alignment horizontal="center" vertical="center" textRotation="90" wrapText="1"/>
    </xf>
    <xf numFmtId="0" fontId="34" fillId="0" borderId="44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>
      <alignment horizontal="center"/>
    </xf>
    <xf numFmtId="0" fontId="31" fillId="0" borderId="0" xfId="0" applyFont="1" applyFill="1" applyBorder="1" applyAlignment="1" applyProtection="1">
      <alignment horizontal="center" vertical="center"/>
      <protection/>
    </xf>
    <xf numFmtId="49" fontId="47" fillId="0" borderId="92" xfId="0" applyNumberFormat="1" applyFont="1" applyFill="1" applyBorder="1" applyAlignment="1">
      <alignment horizontal="center" vertical="center" wrapText="1"/>
    </xf>
    <xf numFmtId="49" fontId="47" fillId="0" borderId="32" xfId="0" applyNumberFormat="1" applyFont="1" applyFill="1" applyBorder="1" applyAlignment="1">
      <alignment horizontal="center" vertical="center" wrapText="1"/>
    </xf>
    <xf numFmtId="49" fontId="47" fillId="0" borderId="49" xfId="0" applyNumberFormat="1" applyFont="1" applyFill="1" applyBorder="1" applyAlignment="1">
      <alignment horizontal="center" vertical="center" wrapText="1"/>
    </xf>
    <xf numFmtId="0" fontId="47" fillId="0" borderId="93" xfId="0" applyFont="1" applyFill="1" applyBorder="1" applyAlignment="1">
      <alignment horizontal="center" vertical="center" wrapText="1"/>
    </xf>
    <xf numFmtId="0" fontId="47" fillId="0" borderId="94" xfId="0" applyFont="1" applyFill="1" applyBorder="1" applyAlignment="1">
      <alignment horizontal="center" vertical="center" wrapText="1"/>
    </xf>
    <xf numFmtId="0" fontId="47" fillId="0" borderId="51" xfId="0" applyFont="1" applyFill="1" applyBorder="1" applyAlignment="1">
      <alignment horizontal="center" vertical="center" wrapText="1"/>
    </xf>
    <xf numFmtId="0" fontId="47" fillId="0" borderId="60" xfId="0" applyFont="1" applyFill="1" applyBorder="1" applyAlignment="1">
      <alignment horizontal="center" vertical="center" textRotation="90" wrapText="1"/>
    </xf>
    <xf numFmtId="0" fontId="47" fillId="0" borderId="16" xfId="0" applyFont="1" applyFill="1" applyBorder="1" applyAlignment="1">
      <alignment horizontal="center" vertical="center" textRotation="90" wrapText="1"/>
    </xf>
    <xf numFmtId="0" fontId="47" fillId="0" borderId="42" xfId="0" applyFont="1" applyFill="1" applyBorder="1" applyAlignment="1">
      <alignment horizontal="center" vertical="center" textRotation="90" wrapText="1"/>
    </xf>
    <xf numFmtId="0" fontId="47" fillId="0" borderId="58" xfId="0" applyFont="1" applyFill="1" applyBorder="1" applyAlignment="1">
      <alignment horizontal="center" vertical="center" textRotation="90" wrapText="1"/>
    </xf>
    <xf numFmtId="0" fontId="47" fillId="0" borderId="15" xfId="0" applyFont="1" applyFill="1" applyBorder="1" applyAlignment="1">
      <alignment horizontal="center" vertical="center" textRotation="90" wrapText="1"/>
    </xf>
    <xf numFmtId="0" fontId="47" fillId="0" borderId="44" xfId="0" applyFont="1" applyFill="1" applyBorder="1" applyAlignment="1">
      <alignment horizontal="center" vertical="center" textRotation="90" wrapText="1"/>
    </xf>
    <xf numFmtId="0" fontId="47" fillId="0" borderId="60" xfId="0" applyFont="1" applyFill="1" applyBorder="1" applyAlignment="1">
      <alignment horizontal="center" vertical="center" wrapText="1"/>
    </xf>
    <xf numFmtId="0" fontId="47" fillId="0" borderId="61" xfId="0" applyFont="1" applyFill="1" applyBorder="1" applyAlignment="1">
      <alignment horizontal="center" vertical="center" wrapText="1"/>
    </xf>
    <xf numFmtId="0" fontId="47" fillId="0" borderId="58" xfId="0" applyFont="1" applyFill="1" applyBorder="1" applyAlignment="1">
      <alignment horizontal="center" vertical="center" wrapText="1"/>
    </xf>
    <xf numFmtId="0" fontId="47" fillId="0" borderId="59" xfId="0" applyFont="1" applyFill="1" applyBorder="1" applyAlignment="1">
      <alignment horizontal="center" vertical="center" wrapText="1"/>
    </xf>
    <xf numFmtId="0" fontId="47" fillId="0" borderId="95" xfId="0" applyFont="1" applyFill="1" applyBorder="1" applyAlignment="1">
      <alignment horizontal="center" vertical="center" wrapText="1"/>
    </xf>
    <xf numFmtId="0" fontId="47" fillId="0" borderId="9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 applyProtection="1">
      <alignment horizontal="left"/>
      <protection/>
    </xf>
    <xf numFmtId="0" fontId="25" fillId="0" borderId="21" xfId="0" applyFont="1" applyFill="1" applyBorder="1" applyAlignment="1" applyProtection="1">
      <alignment horizontal="left"/>
      <protection/>
    </xf>
    <xf numFmtId="0" fontId="25" fillId="0" borderId="19" xfId="0" applyFont="1" applyFill="1" applyBorder="1" applyAlignment="1" applyProtection="1">
      <alignment horizontal="left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9" fillId="0" borderId="31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 applyProtection="1">
      <alignment horizontal="center" vertical="center"/>
      <protection/>
    </xf>
    <xf numFmtId="0" fontId="29" fillId="0" borderId="23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left"/>
      <protection/>
    </xf>
    <xf numFmtId="0" fontId="25" fillId="0" borderId="11" xfId="0" applyFont="1" applyFill="1" applyBorder="1" applyAlignment="1" applyProtection="1">
      <alignment horizontal="left" vertical="top" wrapText="1"/>
      <protection/>
    </xf>
    <xf numFmtId="0" fontId="25" fillId="0" borderId="11" xfId="0" applyFont="1" applyFill="1" applyBorder="1" applyAlignment="1" applyProtection="1">
      <alignment horizontal="left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 wrapText="1"/>
    </xf>
    <xf numFmtId="0" fontId="28" fillId="0" borderId="0" xfId="71" applyFont="1" applyAlignment="1" applyProtection="1">
      <alignment horizontal="center"/>
      <protection/>
    </xf>
    <xf numFmtId="0" fontId="0" fillId="0" borderId="0" xfId="71" applyFont="1" applyAlignment="1">
      <alignment horizontal="center" wrapText="1"/>
      <protection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198">
    <dxf>
      <font>
        <color indexed="9"/>
      </font>
    </dxf>
    <dxf>
      <font>
        <b/>
        <i val="0"/>
        <color indexed="10"/>
      </font>
    </dxf>
    <dxf>
      <font>
        <name val="Calibri Light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H23"/>
  <sheetViews>
    <sheetView showGridLines="0" tabSelected="1" zoomScale="90" zoomScaleNormal="90" zoomScalePageLayoutView="0" workbookViewId="0" topLeftCell="A1">
      <selection activeCell="O38" sqref="O38"/>
    </sheetView>
  </sheetViews>
  <sheetFormatPr defaultColWidth="9.140625" defaultRowHeight="12.75"/>
  <cols>
    <col min="1" max="1" width="4.140625" style="1" customWidth="1"/>
    <col min="2" max="2" width="3.28125" style="1" customWidth="1"/>
    <col min="3" max="10" width="3.421875" style="1" customWidth="1"/>
    <col min="11" max="11" width="3.00390625" style="1" customWidth="1"/>
    <col min="12" max="14" width="3.421875" style="1" customWidth="1"/>
    <col min="15" max="15" width="3.00390625" style="1" customWidth="1"/>
    <col min="16" max="16" width="3.28125" style="1" customWidth="1"/>
    <col min="17" max="19" width="3.421875" style="1" customWidth="1"/>
    <col min="20" max="20" width="3.28125" style="1" customWidth="1"/>
    <col min="21" max="39" width="3.421875" style="1" customWidth="1"/>
    <col min="40" max="40" width="3.28125" style="1" bestFit="1" customWidth="1"/>
    <col min="41" max="41" width="3.00390625" style="1" customWidth="1"/>
    <col min="42" max="49" width="3.421875" style="1" customWidth="1"/>
    <col min="50" max="50" width="3.00390625" style="1" customWidth="1"/>
    <col min="51" max="53" width="3.421875" style="1" customWidth="1"/>
    <col min="54" max="54" width="6.8515625" style="1" customWidth="1"/>
    <col min="55" max="55" width="6.140625" style="1" customWidth="1"/>
    <col min="56" max="56" width="4.57421875" style="1" customWidth="1"/>
    <col min="57" max="57" width="5.7109375" style="1" customWidth="1"/>
    <col min="58" max="58" width="5.8515625" style="1" customWidth="1"/>
    <col min="59" max="60" width="5.7109375" style="1" customWidth="1"/>
    <col min="61" max="61" width="1.421875" style="1" customWidth="1"/>
    <col min="62" max="16384" width="9.140625" style="1" customWidth="1"/>
  </cols>
  <sheetData>
    <row r="1" spans="1:60" ht="15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6"/>
      <c r="O1" s="405"/>
      <c r="P1" s="405"/>
      <c r="Q1" s="405"/>
      <c r="R1" s="405"/>
      <c r="S1" s="405"/>
      <c r="T1" s="405"/>
      <c r="U1" s="497" t="s">
        <v>566</v>
      </c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  <c r="AK1" s="497"/>
      <c r="AL1" s="497"/>
      <c r="AM1" s="497"/>
      <c r="AN1" s="497"/>
      <c r="AO1" s="497"/>
      <c r="AP1" s="497"/>
      <c r="AQ1" s="497"/>
      <c r="AR1" s="497"/>
      <c r="AS1" s="497"/>
      <c r="AT1" s="497"/>
      <c r="AU1" s="405"/>
      <c r="AV1" s="405"/>
      <c r="AW1" s="405"/>
      <c r="AX1" s="405"/>
      <c r="AY1" s="405"/>
      <c r="AZ1" s="405"/>
      <c r="BC1" s="404" t="s">
        <v>0</v>
      </c>
      <c r="BD1" s="406"/>
      <c r="BE1" s="406"/>
      <c r="BF1" s="406"/>
      <c r="BG1" s="406"/>
      <c r="BH1" s="405"/>
    </row>
    <row r="2" spans="1:60" ht="15">
      <c r="A2" s="408" t="s">
        <v>567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9"/>
      <c r="O2" s="409"/>
      <c r="P2" s="409"/>
      <c r="Q2" s="409"/>
      <c r="R2" s="409"/>
      <c r="S2" s="409"/>
      <c r="T2" s="409"/>
      <c r="U2" s="408"/>
      <c r="V2" s="405"/>
      <c r="W2" s="405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05"/>
      <c r="AS2" s="405"/>
      <c r="AT2" s="405"/>
      <c r="AU2" s="405" t="s">
        <v>572</v>
      </c>
      <c r="AV2" s="405"/>
      <c r="AW2" s="405"/>
      <c r="AX2" s="411"/>
      <c r="AY2" s="405"/>
      <c r="AZ2" s="405"/>
      <c r="BC2" s="408" t="s">
        <v>567</v>
      </c>
      <c r="BD2" s="409"/>
      <c r="BE2" s="404"/>
      <c r="BF2" s="404"/>
      <c r="BG2" s="404"/>
      <c r="BH2" s="405"/>
    </row>
    <row r="3" spans="1:60" ht="15.75" customHeight="1">
      <c r="A3" s="408" t="s">
        <v>568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9"/>
      <c r="O3" s="409"/>
      <c r="P3" s="409"/>
      <c r="Q3" s="409"/>
      <c r="R3" s="409"/>
      <c r="S3" s="409"/>
      <c r="T3" s="409"/>
      <c r="U3" s="498" t="s">
        <v>569</v>
      </c>
      <c r="V3" s="498"/>
      <c r="W3" s="498"/>
      <c r="X3" s="498" t="s">
        <v>1</v>
      </c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05"/>
      <c r="AV3" s="405"/>
      <c r="AW3" s="405"/>
      <c r="AX3" s="411"/>
      <c r="AY3" s="405"/>
      <c r="AZ3" s="405"/>
      <c r="BC3" s="408" t="s">
        <v>660</v>
      </c>
      <c r="BD3" s="409"/>
      <c r="BE3" s="404"/>
      <c r="BF3" s="404"/>
      <c r="BG3" s="404"/>
      <c r="BH3" s="405"/>
    </row>
    <row r="4" spans="1:60" ht="17.25" customHeight="1">
      <c r="A4" s="408" t="s">
        <v>571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8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 t="s">
        <v>464</v>
      </c>
      <c r="AV4" s="405"/>
      <c r="AW4" s="405"/>
      <c r="AX4" s="411"/>
      <c r="AY4" s="405"/>
      <c r="AZ4" s="405"/>
      <c r="BC4" s="408" t="s">
        <v>571</v>
      </c>
      <c r="BD4" s="405"/>
      <c r="BE4" s="405"/>
      <c r="BF4" s="408"/>
      <c r="BG4" s="405"/>
      <c r="BH4" s="405"/>
    </row>
    <row r="5" spans="1:60" ht="17.25" customHeight="1">
      <c r="A5" s="408" t="s">
        <v>573</v>
      </c>
      <c r="B5" s="405"/>
      <c r="C5" s="405"/>
      <c r="D5" s="405"/>
      <c r="E5" s="405"/>
      <c r="F5" s="405"/>
      <c r="G5" s="408" t="s">
        <v>574</v>
      </c>
      <c r="H5" s="405"/>
      <c r="I5" s="405"/>
      <c r="J5" s="405"/>
      <c r="K5" s="405"/>
      <c r="L5" s="405"/>
      <c r="M5" s="405"/>
      <c r="N5" s="408"/>
      <c r="O5" s="405"/>
      <c r="P5" s="405"/>
      <c r="Q5" s="405"/>
      <c r="R5" s="405"/>
      <c r="S5" s="405"/>
      <c r="T5" s="405"/>
      <c r="U5" s="405"/>
      <c r="V5" s="405"/>
      <c r="W5" s="412" t="s">
        <v>576</v>
      </c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05"/>
      <c r="AS5" s="405"/>
      <c r="AT5" s="405"/>
      <c r="AU5" s="405" t="s">
        <v>570</v>
      </c>
      <c r="AV5" s="405"/>
      <c r="AW5" s="405"/>
      <c r="AX5" s="411"/>
      <c r="AY5" s="405"/>
      <c r="AZ5" s="405"/>
      <c r="BC5" s="408" t="s">
        <v>573</v>
      </c>
      <c r="BD5" s="405"/>
      <c r="BE5" s="408" t="s">
        <v>599</v>
      </c>
      <c r="BF5" s="408"/>
      <c r="BG5" s="405"/>
      <c r="BH5" s="405"/>
    </row>
    <row r="6" spans="1:60" ht="15.75">
      <c r="A6" s="405" t="s">
        <v>575</v>
      </c>
      <c r="B6" s="405"/>
      <c r="C6" s="405"/>
      <c r="D6" s="413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13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  <c r="AL6" s="497"/>
      <c r="AM6" s="497"/>
      <c r="AN6" s="497"/>
      <c r="AO6" s="497"/>
      <c r="AP6" s="497"/>
      <c r="AQ6" s="412"/>
      <c r="AR6" s="405"/>
      <c r="AS6" s="405"/>
      <c r="AT6" s="405"/>
      <c r="AV6" s="405"/>
      <c r="AW6" s="405"/>
      <c r="AX6" s="414"/>
      <c r="AY6" s="405"/>
      <c r="AZ6" s="405"/>
      <c r="BC6" s="405" t="s">
        <v>575</v>
      </c>
      <c r="BD6" s="405"/>
      <c r="BE6" s="405"/>
      <c r="BF6" s="405"/>
      <c r="BG6" s="405"/>
      <c r="BH6" s="405"/>
    </row>
    <row r="7" spans="1:60" ht="23.25" customHeight="1">
      <c r="A7" s="405" t="s">
        <v>16</v>
      </c>
      <c r="B7" s="405"/>
      <c r="C7" s="405"/>
      <c r="D7" s="413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13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12"/>
      <c r="AR7" s="405"/>
      <c r="AS7" s="405"/>
      <c r="AT7" s="405"/>
      <c r="AU7" s="405"/>
      <c r="AV7" s="405"/>
      <c r="AW7" s="405"/>
      <c r="AX7" s="414"/>
      <c r="AY7" s="405"/>
      <c r="AZ7" s="405"/>
      <c r="BA7" s="408"/>
      <c r="BB7" s="405"/>
      <c r="BC7" s="405"/>
      <c r="BD7" s="405"/>
      <c r="BE7" s="405"/>
      <c r="BF7" s="405"/>
      <c r="BG7" s="405"/>
      <c r="BH7" s="405"/>
    </row>
    <row r="8" spans="1:60" ht="15.75">
      <c r="A8" s="415"/>
      <c r="B8" s="405"/>
      <c r="C8" s="405"/>
      <c r="D8" s="413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13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7"/>
      <c r="AM8" s="407"/>
      <c r="AN8" s="407"/>
      <c r="AO8" s="407"/>
      <c r="AP8" s="407"/>
      <c r="AQ8" s="412"/>
      <c r="AR8" s="405"/>
      <c r="AS8" s="405"/>
      <c r="AT8" s="405"/>
      <c r="AU8" s="405"/>
      <c r="AV8" s="405"/>
      <c r="AW8" s="405"/>
      <c r="AX8" s="414"/>
      <c r="AY8" s="405"/>
      <c r="AZ8" s="405"/>
      <c r="BB8" s="405"/>
      <c r="BC8" s="405"/>
      <c r="BD8" s="405"/>
      <c r="BE8" s="405"/>
      <c r="BF8" s="405"/>
      <c r="BG8" s="405"/>
      <c r="BH8" s="405"/>
    </row>
    <row r="9" spans="1:60" ht="16.5" thickBot="1">
      <c r="A9" s="9" t="s">
        <v>130</v>
      </c>
      <c r="B9" s="405"/>
      <c r="C9" s="9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10"/>
      <c r="W9" s="412"/>
      <c r="X9" s="405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0"/>
      <c r="AM9" s="410"/>
      <c r="AN9" s="410"/>
      <c r="AO9" s="405"/>
      <c r="AP9" s="410"/>
      <c r="AQ9" s="410"/>
      <c r="AR9" s="410"/>
      <c r="AS9" s="405"/>
      <c r="AT9" s="405"/>
      <c r="AU9" s="405"/>
      <c r="AV9" s="9" t="s">
        <v>664</v>
      </c>
      <c r="AX9" s="405"/>
      <c r="AY9" s="405"/>
      <c r="AZ9" s="415"/>
      <c r="BA9" s="415"/>
      <c r="BB9" s="415"/>
      <c r="BC9" s="405"/>
      <c r="BD9" s="405"/>
      <c r="BE9" s="405"/>
      <c r="BF9" s="405"/>
      <c r="BG9" s="405"/>
      <c r="BH9" s="405"/>
    </row>
    <row r="10" spans="1:60" ht="24.75" customHeight="1" thickTop="1">
      <c r="A10" s="490" t="s">
        <v>32</v>
      </c>
      <c r="B10" s="493" t="s">
        <v>25</v>
      </c>
      <c r="C10" s="494"/>
      <c r="D10" s="494"/>
      <c r="E10" s="495"/>
      <c r="F10" s="3" t="s">
        <v>23</v>
      </c>
      <c r="G10" s="496" t="s">
        <v>24</v>
      </c>
      <c r="H10" s="494"/>
      <c r="I10" s="495"/>
      <c r="J10" s="3" t="s">
        <v>23</v>
      </c>
      <c r="K10" s="496" t="s">
        <v>26</v>
      </c>
      <c r="L10" s="494"/>
      <c r="M10" s="494"/>
      <c r="N10" s="495"/>
      <c r="O10" s="496" t="s">
        <v>2</v>
      </c>
      <c r="P10" s="494"/>
      <c r="Q10" s="494"/>
      <c r="R10" s="495"/>
      <c r="S10" s="3"/>
      <c r="T10" s="496" t="s">
        <v>3</v>
      </c>
      <c r="U10" s="494"/>
      <c r="V10" s="494"/>
      <c r="W10" s="3"/>
      <c r="X10" s="496" t="s">
        <v>4</v>
      </c>
      <c r="Y10" s="494"/>
      <c r="Z10" s="495"/>
      <c r="AA10" s="3"/>
      <c r="AB10" s="496" t="s">
        <v>27</v>
      </c>
      <c r="AC10" s="494"/>
      <c r="AD10" s="494"/>
      <c r="AE10" s="495"/>
      <c r="AF10" s="3"/>
      <c r="AG10" s="496" t="s">
        <v>28</v>
      </c>
      <c r="AH10" s="494"/>
      <c r="AI10" s="495"/>
      <c r="AJ10" s="3"/>
      <c r="AK10" s="496" t="s">
        <v>29</v>
      </c>
      <c r="AL10" s="494"/>
      <c r="AM10" s="494"/>
      <c r="AN10" s="495"/>
      <c r="AO10" s="496" t="s">
        <v>30</v>
      </c>
      <c r="AP10" s="494"/>
      <c r="AQ10" s="494"/>
      <c r="AR10" s="495"/>
      <c r="AS10" s="3"/>
      <c r="AT10" s="496" t="s">
        <v>31</v>
      </c>
      <c r="AU10" s="494"/>
      <c r="AV10" s="495"/>
      <c r="AW10" s="3"/>
      <c r="AX10" s="499" t="s">
        <v>5</v>
      </c>
      <c r="AY10" s="499"/>
      <c r="AZ10" s="499"/>
      <c r="BA10" s="500"/>
      <c r="BB10" s="504" t="s">
        <v>6</v>
      </c>
      <c r="BC10" s="507" t="s">
        <v>33</v>
      </c>
      <c r="BD10" s="507" t="s">
        <v>121</v>
      </c>
      <c r="BE10" s="507" t="s">
        <v>34</v>
      </c>
      <c r="BF10" s="507" t="s">
        <v>35</v>
      </c>
      <c r="BG10" s="507" t="s">
        <v>7</v>
      </c>
      <c r="BH10" s="501" t="s">
        <v>36</v>
      </c>
    </row>
    <row r="11" spans="1:60" ht="39.75" customHeight="1">
      <c r="A11" s="491"/>
      <c r="B11" s="416">
        <v>1</v>
      </c>
      <c r="C11" s="417">
        <v>8</v>
      </c>
      <c r="D11" s="417">
        <v>15</v>
      </c>
      <c r="E11" s="417">
        <v>22</v>
      </c>
      <c r="F11" s="418" t="s">
        <v>665</v>
      </c>
      <c r="G11" s="417">
        <v>6</v>
      </c>
      <c r="H11" s="417">
        <v>13</v>
      </c>
      <c r="I11" s="417">
        <v>20</v>
      </c>
      <c r="J11" s="418" t="s">
        <v>666</v>
      </c>
      <c r="K11" s="419">
        <v>3</v>
      </c>
      <c r="L11" s="419">
        <v>10</v>
      </c>
      <c r="M11" s="419">
        <v>17</v>
      </c>
      <c r="N11" s="419">
        <v>24</v>
      </c>
      <c r="O11" s="419">
        <v>1</v>
      </c>
      <c r="P11" s="419">
        <v>8</v>
      </c>
      <c r="Q11" s="419">
        <v>15</v>
      </c>
      <c r="R11" s="419">
        <v>22</v>
      </c>
      <c r="S11" s="418" t="s">
        <v>667</v>
      </c>
      <c r="T11" s="419">
        <v>5</v>
      </c>
      <c r="U11" s="419">
        <v>12</v>
      </c>
      <c r="V11" s="419">
        <v>19</v>
      </c>
      <c r="W11" s="418" t="s">
        <v>668</v>
      </c>
      <c r="X11" s="419">
        <v>2</v>
      </c>
      <c r="Y11" s="419">
        <v>9</v>
      </c>
      <c r="Z11" s="419">
        <v>16</v>
      </c>
      <c r="AA11" s="418" t="s">
        <v>669</v>
      </c>
      <c r="AB11" s="419">
        <v>2</v>
      </c>
      <c r="AC11" s="419">
        <v>9</v>
      </c>
      <c r="AD11" s="419">
        <v>16</v>
      </c>
      <c r="AE11" s="419">
        <v>23</v>
      </c>
      <c r="AF11" s="418" t="s">
        <v>670</v>
      </c>
      <c r="AG11" s="419">
        <v>6</v>
      </c>
      <c r="AH11" s="419">
        <v>13</v>
      </c>
      <c r="AI11" s="419">
        <v>20</v>
      </c>
      <c r="AJ11" s="418" t="s">
        <v>671</v>
      </c>
      <c r="AK11" s="419">
        <v>4</v>
      </c>
      <c r="AL11" s="419">
        <v>11</v>
      </c>
      <c r="AM11" s="419">
        <v>18</v>
      </c>
      <c r="AN11" s="419">
        <v>25</v>
      </c>
      <c r="AO11" s="419">
        <v>1</v>
      </c>
      <c r="AP11" s="419">
        <v>8</v>
      </c>
      <c r="AQ11" s="419">
        <v>15</v>
      </c>
      <c r="AR11" s="419">
        <v>22</v>
      </c>
      <c r="AS11" s="418" t="s">
        <v>672</v>
      </c>
      <c r="AT11" s="419">
        <v>6</v>
      </c>
      <c r="AU11" s="419">
        <v>13</v>
      </c>
      <c r="AV11" s="419">
        <v>20</v>
      </c>
      <c r="AW11" s="418" t="s">
        <v>673</v>
      </c>
      <c r="AX11" s="419">
        <v>3</v>
      </c>
      <c r="AY11" s="419">
        <v>10</v>
      </c>
      <c r="AZ11" s="419">
        <v>17</v>
      </c>
      <c r="BA11" s="420">
        <v>24</v>
      </c>
      <c r="BB11" s="505"/>
      <c r="BC11" s="508"/>
      <c r="BD11" s="508"/>
      <c r="BE11" s="508"/>
      <c r="BF11" s="508"/>
      <c r="BG11" s="508"/>
      <c r="BH11" s="502"/>
    </row>
    <row r="12" spans="1:60" ht="6.75" customHeight="1">
      <c r="A12" s="491"/>
      <c r="B12" s="421"/>
      <c r="C12" s="422"/>
      <c r="D12" s="422"/>
      <c r="E12" s="422"/>
      <c r="F12" s="418"/>
      <c r="G12" s="422"/>
      <c r="H12" s="422"/>
      <c r="I12" s="422"/>
      <c r="J12" s="418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4"/>
      <c r="BB12" s="505"/>
      <c r="BC12" s="508"/>
      <c r="BD12" s="508"/>
      <c r="BE12" s="508"/>
      <c r="BF12" s="508"/>
      <c r="BG12" s="508"/>
      <c r="BH12" s="502"/>
    </row>
    <row r="13" spans="1:60" ht="37.5" customHeight="1" thickBot="1">
      <c r="A13" s="492"/>
      <c r="B13" s="425">
        <v>7</v>
      </c>
      <c r="C13" s="426">
        <v>14</v>
      </c>
      <c r="D13" s="426">
        <v>21</v>
      </c>
      <c r="E13" s="426">
        <v>28</v>
      </c>
      <c r="F13" s="427" t="s">
        <v>674</v>
      </c>
      <c r="G13" s="426">
        <v>12</v>
      </c>
      <c r="H13" s="426">
        <v>19</v>
      </c>
      <c r="I13" s="426">
        <v>26</v>
      </c>
      <c r="J13" s="427" t="s">
        <v>675</v>
      </c>
      <c r="K13" s="428">
        <v>9</v>
      </c>
      <c r="L13" s="428">
        <v>16</v>
      </c>
      <c r="M13" s="428">
        <v>23</v>
      </c>
      <c r="N13" s="428">
        <v>30</v>
      </c>
      <c r="O13" s="428">
        <v>7</v>
      </c>
      <c r="P13" s="428">
        <v>14</v>
      </c>
      <c r="Q13" s="428">
        <v>21</v>
      </c>
      <c r="R13" s="428">
        <v>28</v>
      </c>
      <c r="S13" s="427" t="s">
        <v>676</v>
      </c>
      <c r="T13" s="428">
        <v>11</v>
      </c>
      <c r="U13" s="428">
        <v>18</v>
      </c>
      <c r="V13" s="428">
        <v>25</v>
      </c>
      <c r="W13" s="427" t="s">
        <v>677</v>
      </c>
      <c r="X13" s="428">
        <v>8</v>
      </c>
      <c r="Y13" s="428">
        <v>15</v>
      </c>
      <c r="Z13" s="428">
        <v>22</v>
      </c>
      <c r="AA13" s="427" t="s">
        <v>678</v>
      </c>
      <c r="AB13" s="428">
        <v>8</v>
      </c>
      <c r="AC13" s="428">
        <v>15</v>
      </c>
      <c r="AD13" s="428">
        <v>22</v>
      </c>
      <c r="AE13" s="428">
        <v>29</v>
      </c>
      <c r="AF13" s="427" t="s">
        <v>679</v>
      </c>
      <c r="AG13" s="428">
        <v>12</v>
      </c>
      <c r="AH13" s="428">
        <v>19</v>
      </c>
      <c r="AI13" s="428">
        <v>26</v>
      </c>
      <c r="AJ13" s="427" t="s">
        <v>680</v>
      </c>
      <c r="AK13" s="428">
        <v>10</v>
      </c>
      <c r="AL13" s="428">
        <v>17</v>
      </c>
      <c r="AM13" s="428">
        <v>24</v>
      </c>
      <c r="AN13" s="428">
        <v>31</v>
      </c>
      <c r="AO13" s="428">
        <v>7</v>
      </c>
      <c r="AP13" s="428">
        <v>14</v>
      </c>
      <c r="AQ13" s="428">
        <v>21</v>
      </c>
      <c r="AR13" s="428">
        <v>28</v>
      </c>
      <c r="AS13" s="427" t="s">
        <v>681</v>
      </c>
      <c r="AT13" s="428">
        <v>12</v>
      </c>
      <c r="AU13" s="428">
        <v>19</v>
      </c>
      <c r="AV13" s="428">
        <v>26</v>
      </c>
      <c r="AW13" s="427" t="s">
        <v>682</v>
      </c>
      <c r="AX13" s="428">
        <v>9</v>
      </c>
      <c r="AY13" s="428">
        <v>16</v>
      </c>
      <c r="AZ13" s="428">
        <v>23</v>
      </c>
      <c r="BA13" s="429">
        <v>31</v>
      </c>
      <c r="BB13" s="506"/>
      <c r="BC13" s="509"/>
      <c r="BD13" s="509"/>
      <c r="BE13" s="509"/>
      <c r="BF13" s="509"/>
      <c r="BG13" s="509"/>
      <c r="BH13" s="503"/>
    </row>
    <row r="14" spans="1:60" ht="17.25" customHeight="1" thickTop="1">
      <c r="A14" s="430" t="s">
        <v>17</v>
      </c>
      <c r="B14" s="431"/>
      <c r="C14" s="432">
        <v>20</v>
      </c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3">
        <v>0</v>
      </c>
      <c r="O14" s="432"/>
      <c r="P14" s="432"/>
      <c r="Q14" s="432"/>
      <c r="R14" s="432"/>
      <c r="S14" s="432"/>
      <c r="T14" s="433"/>
      <c r="U14" s="434"/>
      <c r="V14" s="434" t="s">
        <v>8</v>
      </c>
      <c r="W14" s="434" t="s">
        <v>8</v>
      </c>
      <c r="X14" s="435" t="s">
        <v>9</v>
      </c>
      <c r="Y14" s="435" t="s">
        <v>9</v>
      </c>
      <c r="Z14" s="432">
        <v>18</v>
      </c>
      <c r="AA14" s="432"/>
      <c r="AB14" s="436"/>
      <c r="AC14" s="432"/>
      <c r="AD14" s="432"/>
      <c r="AE14" s="436"/>
      <c r="AF14" s="432"/>
      <c r="AG14" s="432"/>
      <c r="AH14" s="436"/>
      <c r="AI14" s="432"/>
      <c r="AJ14" s="432"/>
      <c r="AK14" s="437"/>
      <c r="AL14" s="436"/>
      <c r="AM14" s="436"/>
      <c r="AN14" s="433"/>
      <c r="AO14" s="436"/>
      <c r="AP14" s="434"/>
      <c r="AQ14" s="434"/>
      <c r="AR14" s="434" t="s">
        <v>8</v>
      </c>
      <c r="AS14" s="434" t="s">
        <v>8</v>
      </c>
      <c r="AT14" s="435" t="s">
        <v>9</v>
      </c>
      <c r="AU14" s="435" t="s">
        <v>9</v>
      </c>
      <c r="AV14" s="435" t="s">
        <v>9</v>
      </c>
      <c r="AW14" s="435" t="s">
        <v>9</v>
      </c>
      <c r="AX14" s="435" t="s">
        <v>9</v>
      </c>
      <c r="AY14" s="435" t="s">
        <v>9</v>
      </c>
      <c r="AZ14" s="435" t="s">
        <v>9</v>
      </c>
      <c r="BA14" s="438" t="s">
        <v>9</v>
      </c>
      <c r="BB14" s="439">
        <f aca="true" t="shared" si="0" ref="BB14:BB19">SUM(C14,Z14)</f>
        <v>38</v>
      </c>
      <c r="BC14" s="440">
        <f aca="true" t="shared" si="1" ref="BC14:BC19">COUNTIF(B14:BA14,$G$23)</f>
        <v>4</v>
      </c>
      <c r="BD14" s="440">
        <f>COUNTIF(C14:BB14,$S$21)</f>
        <v>1</v>
      </c>
      <c r="BE14" s="440"/>
      <c r="BF14" s="440"/>
      <c r="BG14" s="440">
        <f aca="true" t="shared" si="2" ref="BG14:BG19">COUNTIF(B14:BA14,$BA$18)</f>
        <v>10</v>
      </c>
      <c r="BH14" s="441" t="s">
        <v>683</v>
      </c>
    </row>
    <row r="15" spans="1:60" ht="17.25" customHeight="1">
      <c r="A15" s="442" t="s">
        <v>18</v>
      </c>
      <c r="B15" s="443"/>
      <c r="C15" s="444">
        <v>19</v>
      </c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33"/>
      <c r="P15" s="444"/>
      <c r="Q15" s="444"/>
      <c r="R15" s="444"/>
      <c r="S15" s="444"/>
      <c r="T15" s="415"/>
      <c r="U15" s="445" t="s">
        <v>8</v>
      </c>
      <c r="V15" s="445" t="s">
        <v>8</v>
      </c>
      <c r="W15" s="446" t="s">
        <v>9</v>
      </c>
      <c r="X15" s="446" t="s">
        <v>9</v>
      </c>
      <c r="Y15" s="447"/>
      <c r="Z15" s="444">
        <v>18</v>
      </c>
      <c r="AA15" s="444"/>
      <c r="AB15" s="447"/>
      <c r="AC15" s="444"/>
      <c r="AD15" s="433"/>
      <c r="AE15" s="447"/>
      <c r="AF15" s="444"/>
      <c r="AG15" s="444"/>
      <c r="AH15" s="447"/>
      <c r="AI15" s="448"/>
      <c r="AJ15" s="448"/>
      <c r="AK15" s="448"/>
      <c r="AL15" s="433">
        <v>0</v>
      </c>
      <c r="AM15" s="433">
        <v>0</v>
      </c>
      <c r="AN15" s="447"/>
      <c r="AO15" s="447"/>
      <c r="AP15" s="445"/>
      <c r="AQ15" s="449" t="s">
        <v>8</v>
      </c>
      <c r="AR15" s="449" t="s">
        <v>8</v>
      </c>
      <c r="AS15" s="449" t="s">
        <v>8</v>
      </c>
      <c r="AT15" s="446" t="s">
        <v>9</v>
      </c>
      <c r="AU15" s="446" t="s">
        <v>9</v>
      </c>
      <c r="AV15" s="446" t="s">
        <v>9</v>
      </c>
      <c r="AW15" s="446" t="s">
        <v>9</v>
      </c>
      <c r="AX15" s="446" t="s">
        <v>9</v>
      </c>
      <c r="AY15" s="446" t="s">
        <v>9</v>
      </c>
      <c r="AZ15" s="446" t="s">
        <v>9</v>
      </c>
      <c r="BA15" s="450" t="s">
        <v>9</v>
      </c>
      <c r="BB15" s="451">
        <f t="shared" si="0"/>
        <v>37</v>
      </c>
      <c r="BC15" s="440">
        <f t="shared" si="1"/>
        <v>5</v>
      </c>
      <c r="BD15" s="440">
        <f>COUNTIF(C15:BB15,$S$21)</f>
        <v>2</v>
      </c>
      <c r="BE15" s="452"/>
      <c r="BF15" s="452"/>
      <c r="BG15" s="440">
        <f t="shared" si="2"/>
        <v>10</v>
      </c>
      <c r="BH15" s="441" t="s">
        <v>683</v>
      </c>
    </row>
    <row r="16" spans="1:60" ht="17.25" customHeight="1">
      <c r="A16" s="442" t="s">
        <v>19</v>
      </c>
      <c r="B16" s="443"/>
      <c r="C16" s="444">
        <v>18</v>
      </c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33"/>
      <c r="P16" s="433"/>
      <c r="Q16" s="444"/>
      <c r="R16" s="444"/>
      <c r="S16" s="444"/>
      <c r="T16" s="445" t="s">
        <v>8</v>
      </c>
      <c r="U16" s="445" t="s">
        <v>8</v>
      </c>
      <c r="V16" s="445" t="s">
        <v>8</v>
      </c>
      <c r="W16" s="446" t="s">
        <v>9</v>
      </c>
      <c r="X16" s="446" t="s">
        <v>9</v>
      </c>
      <c r="Y16" s="447"/>
      <c r="Z16" s="444">
        <v>17</v>
      </c>
      <c r="AA16" s="444"/>
      <c r="AB16" s="447"/>
      <c r="AC16" s="433"/>
      <c r="AD16" s="444"/>
      <c r="AE16" s="447"/>
      <c r="AF16" s="433"/>
      <c r="AG16" s="444"/>
      <c r="AH16" s="447"/>
      <c r="AI16" s="444"/>
      <c r="AJ16" s="444"/>
      <c r="AK16" s="453"/>
      <c r="AL16" s="433"/>
      <c r="AM16" s="447"/>
      <c r="AN16" s="454"/>
      <c r="AO16" s="445"/>
      <c r="AP16" s="445" t="s">
        <v>8</v>
      </c>
      <c r="AQ16" s="445" t="s">
        <v>8</v>
      </c>
      <c r="AR16" s="445" t="s">
        <v>8</v>
      </c>
      <c r="AS16" s="455" t="s">
        <v>10</v>
      </c>
      <c r="AT16" s="455" t="s">
        <v>10</v>
      </c>
      <c r="AU16" s="455" t="s">
        <v>10</v>
      </c>
      <c r="AV16" s="455" t="s">
        <v>10</v>
      </c>
      <c r="AW16" s="446" t="s">
        <v>9</v>
      </c>
      <c r="AX16" s="446" t="s">
        <v>9</v>
      </c>
      <c r="AY16" s="446" t="s">
        <v>9</v>
      </c>
      <c r="AZ16" s="446" t="s">
        <v>9</v>
      </c>
      <c r="BA16" s="450" t="s">
        <v>9</v>
      </c>
      <c r="BB16" s="451">
        <f t="shared" si="0"/>
        <v>35</v>
      </c>
      <c r="BC16" s="440">
        <f t="shared" si="1"/>
        <v>6</v>
      </c>
      <c r="BD16" s="456"/>
      <c r="BE16" s="452">
        <f>COUNTIF(B16:BA16,$S$23)</f>
        <v>4</v>
      </c>
      <c r="BF16" s="452"/>
      <c r="BG16" s="440">
        <f t="shared" si="2"/>
        <v>7</v>
      </c>
      <c r="BH16" s="457">
        <f>SUM(BB16:BG16)</f>
        <v>52</v>
      </c>
    </row>
    <row r="17" spans="1:60" ht="17.25" customHeight="1">
      <c r="A17" s="442" t="s">
        <v>20</v>
      </c>
      <c r="B17" s="443"/>
      <c r="C17" s="444">
        <v>19</v>
      </c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58"/>
      <c r="U17" s="445" t="s">
        <v>8</v>
      </c>
      <c r="V17" s="445" t="s">
        <v>8</v>
      </c>
      <c r="W17" s="446" t="s">
        <v>9</v>
      </c>
      <c r="X17" s="446" t="s">
        <v>9</v>
      </c>
      <c r="Y17" s="447"/>
      <c r="Z17" s="444">
        <v>17</v>
      </c>
      <c r="AA17" s="444"/>
      <c r="AB17" s="447"/>
      <c r="AC17" s="444"/>
      <c r="AD17" s="444"/>
      <c r="AE17" s="447"/>
      <c r="AF17" s="444"/>
      <c r="AG17" s="444"/>
      <c r="AH17" s="447"/>
      <c r="AI17" s="444"/>
      <c r="AJ17" s="444"/>
      <c r="AK17" s="453"/>
      <c r="AL17" s="447"/>
      <c r="AM17" s="447"/>
      <c r="AN17" s="454"/>
      <c r="AO17" s="445"/>
      <c r="AP17" s="445" t="s">
        <v>8</v>
      </c>
      <c r="AQ17" s="445" t="s">
        <v>8</v>
      </c>
      <c r="AR17" s="445" t="s">
        <v>8</v>
      </c>
      <c r="AS17" s="455" t="s">
        <v>10</v>
      </c>
      <c r="AT17" s="455" t="s">
        <v>10</v>
      </c>
      <c r="AU17" s="455" t="s">
        <v>10</v>
      </c>
      <c r="AV17" s="455" t="s">
        <v>10</v>
      </c>
      <c r="AW17" s="446" t="s">
        <v>9</v>
      </c>
      <c r="AX17" s="446" t="s">
        <v>9</v>
      </c>
      <c r="AY17" s="446" t="s">
        <v>9</v>
      </c>
      <c r="AZ17" s="446" t="s">
        <v>9</v>
      </c>
      <c r="BA17" s="450" t="s">
        <v>9</v>
      </c>
      <c r="BB17" s="451">
        <f t="shared" si="0"/>
        <v>36</v>
      </c>
      <c r="BC17" s="440">
        <f t="shared" si="1"/>
        <v>5</v>
      </c>
      <c r="BD17" s="456"/>
      <c r="BE17" s="452">
        <f>COUNTIF(B17:BA17,$S$23)</f>
        <v>4</v>
      </c>
      <c r="BF17" s="452"/>
      <c r="BG17" s="440">
        <f t="shared" si="2"/>
        <v>7</v>
      </c>
      <c r="BH17" s="457">
        <f>SUM(BB17:BG17)</f>
        <v>52</v>
      </c>
    </row>
    <row r="18" spans="1:60" ht="17.25" customHeight="1">
      <c r="A18" s="442" t="s">
        <v>21</v>
      </c>
      <c r="B18" s="443"/>
      <c r="C18" s="444">
        <v>18</v>
      </c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5" t="s">
        <v>8</v>
      </c>
      <c r="U18" s="445" t="s">
        <v>8</v>
      </c>
      <c r="V18" s="446" t="s">
        <v>9</v>
      </c>
      <c r="W18" s="446" t="s">
        <v>9</v>
      </c>
      <c r="X18" s="415"/>
      <c r="Y18" s="447"/>
      <c r="Z18" s="444">
        <v>16</v>
      </c>
      <c r="AA18" s="444"/>
      <c r="AB18" s="447"/>
      <c r="AC18" s="444"/>
      <c r="AD18" s="444"/>
      <c r="AE18" s="447"/>
      <c r="AF18" s="444"/>
      <c r="AG18" s="444"/>
      <c r="AH18" s="447"/>
      <c r="AI18" s="444"/>
      <c r="AJ18" s="444"/>
      <c r="AK18" s="453"/>
      <c r="AL18" s="445"/>
      <c r="AM18" s="445"/>
      <c r="AN18" s="445" t="s">
        <v>8</v>
      </c>
      <c r="AO18" s="445" t="s">
        <v>8</v>
      </c>
      <c r="AP18" s="445" t="s">
        <v>8</v>
      </c>
      <c r="AQ18" s="445" t="s">
        <v>8</v>
      </c>
      <c r="AR18" s="455" t="s">
        <v>10</v>
      </c>
      <c r="AS18" s="455" t="s">
        <v>10</v>
      </c>
      <c r="AT18" s="455" t="s">
        <v>10</v>
      </c>
      <c r="AU18" s="455" t="s">
        <v>10</v>
      </c>
      <c r="AV18" s="455" t="s">
        <v>10</v>
      </c>
      <c r="AW18" s="455" t="s">
        <v>10</v>
      </c>
      <c r="AX18" s="446" t="s">
        <v>9</v>
      </c>
      <c r="AY18" s="446" t="s">
        <v>9</v>
      </c>
      <c r="AZ18" s="446" t="s">
        <v>9</v>
      </c>
      <c r="BA18" s="450" t="s">
        <v>9</v>
      </c>
      <c r="BB18" s="451">
        <f t="shared" si="0"/>
        <v>34</v>
      </c>
      <c r="BC18" s="440">
        <f t="shared" si="1"/>
        <v>6</v>
      </c>
      <c r="BD18" s="456"/>
      <c r="BE18" s="452">
        <f>COUNTIF(B18:BA18,$S$23)</f>
        <v>6</v>
      </c>
      <c r="BF18" s="452"/>
      <c r="BG18" s="440">
        <f t="shared" si="2"/>
        <v>6</v>
      </c>
      <c r="BH18" s="457">
        <f>SUM(BB18:BG18)</f>
        <v>52</v>
      </c>
    </row>
    <row r="19" spans="1:60" ht="17.25" customHeight="1" thickBot="1">
      <c r="A19" s="459" t="s">
        <v>22</v>
      </c>
      <c r="B19" s="460"/>
      <c r="C19" s="461">
        <v>17</v>
      </c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 t="s">
        <v>10</v>
      </c>
      <c r="T19" s="462" t="s">
        <v>10</v>
      </c>
      <c r="U19" s="462" t="s">
        <v>10</v>
      </c>
      <c r="V19" s="462" t="s">
        <v>10</v>
      </c>
      <c r="W19" s="462" t="s">
        <v>8</v>
      </c>
      <c r="X19" s="463" t="s">
        <v>9</v>
      </c>
      <c r="Y19" s="463" t="s">
        <v>9</v>
      </c>
      <c r="Z19" s="461">
        <v>17</v>
      </c>
      <c r="AA19" s="461"/>
      <c r="AB19" s="464"/>
      <c r="AC19" s="461"/>
      <c r="AD19" s="461"/>
      <c r="AE19" s="464"/>
      <c r="AF19" s="461"/>
      <c r="AG19" s="461"/>
      <c r="AH19" s="464"/>
      <c r="AI19" s="461"/>
      <c r="AJ19" s="461"/>
      <c r="AK19" s="465"/>
      <c r="AL19" s="464"/>
      <c r="AM19" s="464"/>
      <c r="AN19" s="463"/>
      <c r="AO19" s="466"/>
      <c r="AP19" s="466"/>
      <c r="AQ19" s="466" t="s">
        <v>11</v>
      </c>
      <c r="AR19" s="466" t="s">
        <v>11</v>
      </c>
      <c r="AS19" s="466" t="s">
        <v>11</v>
      </c>
      <c r="AT19" s="463"/>
      <c r="AU19" s="463"/>
      <c r="AV19" s="463"/>
      <c r="AW19" s="463"/>
      <c r="AX19" s="464"/>
      <c r="AY19" s="464"/>
      <c r="AZ19" s="464"/>
      <c r="BA19" s="467"/>
      <c r="BB19" s="468">
        <f t="shared" si="0"/>
        <v>34</v>
      </c>
      <c r="BC19" s="440">
        <f t="shared" si="1"/>
        <v>1</v>
      </c>
      <c r="BD19" s="469"/>
      <c r="BE19" s="452">
        <f>COUNTIF(B19:BA19,$S$23)</f>
        <v>4</v>
      </c>
      <c r="BF19" s="470">
        <f>COUNTIF(B19:BA19,AF23)</f>
        <v>3</v>
      </c>
      <c r="BG19" s="440">
        <f t="shared" si="2"/>
        <v>2</v>
      </c>
      <c r="BH19" s="471">
        <f>SUM(BB19:BG19)</f>
        <v>44</v>
      </c>
    </row>
    <row r="20" spans="1:60" ht="17.25" thickBot="1" thickTop="1">
      <c r="A20" s="472"/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3"/>
      <c r="AF20" s="473"/>
      <c r="AG20" s="473"/>
      <c r="AH20" s="473"/>
      <c r="AI20" s="473"/>
      <c r="AJ20" s="473"/>
      <c r="AK20" s="473"/>
      <c r="AL20" s="473"/>
      <c r="AM20" s="473"/>
      <c r="AN20" s="473"/>
      <c r="AO20" s="473"/>
      <c r="AP20" s="473"/>
      <c r="AQ20" s="473"/>
      <c r="AR20" s="473"/>
      <c r="AS20" s="473"/>
      <c r="AT20" s="473"/>
      <c r="AU20" s="473"/>
      <c r="AV20" s="473"/>
      <c r="AW20" s="473"/>
      <c r="AX20" s="473"/>
      <c r="AY20" s="473"/>
      <c r="AZ20" s="473"/>
      <c r="BA20" s="473"/>
      <c r="BB20" s="474">
        <f aca="true" t="shared" si="3" ref="BB20:BG20">SUM(BB14:BB19)</f>
        <v>214</v>
      </c>
      <c r="BC20" s="475">
        <f t="shared" si="3"/>
        <v>27</v>
      </c>
      <c r="BD20" s="475">
        <f t="shared" si="3"/>
        <v>3</v>
      </c>
      <c r="BE20" s="475">
        <f t="shared" si="3"/>
        <v>18</v>
      </c>
      <c r="BF20" s="475">
        <f t="shared" si="3"/>
        <v>3</v>
      </c>
      <c r="BG20" s="475">
        <f t="shared" si="3"/>
        <v>42</v>
      </c>
      <c r="BH20" s="476">
        <f>SUM(BB20:BG20)</f>
        <v>307</v>
      </c>
    </row>
    <row r="21" spans="1:60" ht="16.5" thickTop="1">
      <c r="A21" s="415"/>
      <c r="B21" s="405" t="s">
        <v>12</v>
      </c>
      <c r="C21" s="415"/>
      <c r="D21" s="415"/>
      <c r="E21" s="415"/>
      <c r="F21" s="415"/>
      <c r="G21" s="448"/>
      <c r="H21" s="405" t="s">
        <v>38</v>
      </c>
      <c r="I21" s="405" t="s">
        <v>13</v>
      </c>
      <c r="J21" s="415"/>
      <c r="K21" s="415"/>
      <c r="L21" s="415"/>
      <c r="M21" s="415"/>
      <c r="N21" s="415"/>
      <c r="O21" s="415"/>
      <c r="P21" s="472"/>
      <c r="Q21" s="415"/>
      <c r="R21" s="415"/>
      <c r="S21" s="433">
        <v>0</v>
      </c>
      <c r="T21" s="405" t="s">
        <v>38</v>
      </c>
      <c r="U21" s="405" t="s">
        <v>37</v>
      </c>
      <c r="V21" s="415"/>
      <c r="W21" s="415"/>
      <c r="X21" s="415"/>
      <c r="Y21" s="415"/>
      <c r="Z21" s="472"/>
      <c r="AA21" s="415"/>
      <c r="AB21" s="415"/>
      <c r="AC21" s="415"/>
      <c r="AD21" s="415"/>
      <c r="AE21" s="415"/>
      <c r="AF21" s="433" t="s">
        <v>125</v>
      </c>
      <c r="AG21" s="405" t="s">
        <v>38</v>
      </c>
      <c r="AH21" s="405" t="s">
        <v>15</v>
      </c>
      <c r="AI21" s="415"/>
      <c r="AJ21" s="472"/>
      <c r="AK21" s="415"/>
      <c r="AL21" s="415"/>
      <c r="AM21" s="415"/>
      <c r="AN21" s="415"/>
      <c r="AO21" s="415"/>
      <c r="AP21" s="415"/>
      <c r="AQ21" s="472"/>
      <c r="AR21" s="415"/>
      <c r="AS21" s="405"/>
      <c r="AT21" s="405"/>
      <c r="AU21" s="405"/>
      <c r="AV21" s="415"/>
      <c r="AW21" s="415"/>
      <c r="AX21" s="415"/>
      <c r="AY21" s="415"/>
      <c r="AZ21" s="415"/>
      <c r="BA21" s="415"/>
      <c r="BB21" s="415"/>
      <c r="BC21" s="415"/>
      <c r="BD21" s="415"/>
      <c r="BE21" s="415"/>
      <c r="BF21" s="415"/>
      <c r="BG21" s="415"/>
      <c r="BH21" s="415"/>
    </row>
    <row r="22" spans="1:60" ht="4.5" customHeight="1">
      <c r="A22" s="415"/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72"/>
      <c r="AK22" s="415"/>
      <c r="AL22" s="415"/>
      <c r="AM22" s="415"/>
      <c r="AN22" s="415"/>
      <c r="AO22" s="415"/>
      <c r="AP22" s="415"/>
      <c r="AQ22" s="472"/>
      <c r="AR22" s="415"/>
      <c r="AS22" s="415"/>
      <c r="AT22" s="415"/>
      <c r="AU22" s="415"/>
      <c r="AV22" s="415"/>
      <c r="AW22" s="477"/>
      <c r="AX22" s="477"/>
      <c r="AY22" s="477"/>
      <c r="AZ22" s="477"/>
      <c r="BA22" s="477"/>
      <c r="BB22" s="415"/>
      <c r="BC22" s="415"/>
      <c r="BD22" s="415"/>
      <c r="BE22" s="415"/>
      <c r="BF22" s="415"/>
      <c r="BG22" s="415"/>
      <c r="BH22" s="415"/>
    </row>
    <row r="23" spans="1:60" ht="15.75">
      <c r="A23" s="415"/>
      <c r="B23" s="415"/>
      <c r="C23" s="415"/>
      <c r="D23" s="415"/>
      <c r="E23" s="415"/>
      <c r="F23" s="415"/>
      <c r="G23" s="478" t="s">
        <v>8</v>
      </c>
      <c r="H23" s="405" t="s">
        <v>38</v>
      </c>
      <c r="I23" s="405" t="s">
        <v>14</v>
      </c>
      <c r="J23" s="415"/>
      <c r="K23" s="415"/>
      <c r="L23" s="415"/>
      <c r="M23" s="415"/>
      <c r="N23" s="415"/>
      <c r="O23" s="415"/>
      <c r="P23" s="472"/>
      <c r="Q23" s="415"/>
      <c r="R23" s="415"/>
      <c r="S23" s="479" t="s">
        <v>10</v>
      </c>
      <c r="T23" s="405" t="s">
        <v>38</v>
      </c>
      <c r="U23" s="405" t="s">
        <v>119</v>
      </c>
      <c r="V23" s="405"/>
      <c r="W23" s="415"/>
      <c r="X23" s="415"/>
      <c r="Y23" s="415"/>
      <c r="Z23" s="472"/>
      <c r="AA23" s="415"/>
      <c r="AB23" s="415"/>
      <c r="AC23" s="415"/>
      <c r="AD23" s="415"/>
      <c r="AE23" s="415"/>
      <c r="AF23" s="433" t="s">
        <v>11</v>
      </c>
      <c r="AG23" s="405" t="s">
        <v>38</v>
      </c>
      <c r="AH23" s="405" t="s">
        <v>120</v>
      </c>
      <c r="AI23" s="415"/>
      <c r="AJ23" s="472"/>
      <c r="AK23" s="415"/>
      <c r="AL23" s="415"/>
      <c r="AM23" s="415"/>
      <c r="AN23" s="415"/>
      <c r="AO23" s="415"/>
      <c r="AP23" s="415"/>
      <c r="AQ23" s="415"/>
      <c r="AR23" s="415"/>
      <c r="AS23" s="415"/>
      <c r="AT23" s="415"/>
      <c r="AU23" s="415"/>
      <c r="AV23" s="415"/>
      <c r="AW23" s="415"/>
      <c r="AX23" s="415"/>
      <c r="AY23" s="415"/>
      <c r="AZ23" s="415"/>
      <c r="BA23" s="415"/>
      <c r="BB23" s="415"/>
      <c r="BC23" s="415"/>
      <c r="BD23" s="415"/>
      <c r="BE23" s="415"/>
      <c r="BF23" s="415"/>
      <c r="BG23" s="415"/>
      <c r="BH23" s="415"/>
    </row>
    <row r="24" ht="7.5" customHeight="1"/>
  </sheetData>
  <sheetProtection/>
  <mergeCells count="23">
    <mergeCell ref="AX10:BA10"/>
    <mergeCell ref="BH10:BH13"/>
    <mergeCell ref="BB10:BB13"/>
    <mergeCell ref="BC10:BC13"/>
    <mergeCell ref="BD10:BD13"/>
    <mergeCell ref="BE10:BE13"/>
    <mergeCell ref="BF10:BF13"/>
    <mergeCell ref="BG10:BG13"/>
    <mergeCell ref="Y6:AP6"/>
    <mergeCell ref="AO10:AR10"/>
    <mergeCell ref="AT10:AV10"/>
    <mergeCell ref="AG10:AI10"/>
    <mergeCell ref="AK10:AN10"/>
    <mergeCell ref="U1:AT1"/>
    <mergeCell ref="U3:AT3"/>
    <mergeCell ref="A10:A13"/>
    <mergeCell ref="B10:E10"/>
    <mergeCell ref="G10:I10"/>
    <mergeCell ref="K10:N10"/>
    <mergeCell ref="O10:R10"/>
    <mergeCell ref="AB10:AE10"/>
    <mergeCell ref="X10:Z10"/>
    <mergeCell ref="T10:V1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8" scale="92" r:id="rId1"/>
  <ignoredErrors>
    <ignoredError sqref="BC14:BC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EA151"/>
  <sheetViews>
    <sheetView zoomScale="50" zoomScaleNormal="50" zoomScaleSheetLayoutView="50" zoomScalePageLayoutView="0" workbookViewId="0" topLeftCell="A1">
      <pane xSplit="5" ySplit="9" topLeftCell="F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P10" sqref="AP10"/>
    </sheetView>
  </sheetViews>
  <sheetFormatPr defaultColWidth="9.140625" defaultRowHeight="12.75" outlineLevelRow="1" outlineLevelCol="1"/>
  <cols>
    <col min="1" max="1" width="9.140625" style="50" customWidth="1"/>
    <col min="2" max="2" width="10.28125" style="94" customWidth="1"/>
    <col min="3" max="3" width="33.421875" style="93" customWidth="1"/>
    <col min="4" max="4" width="7.8515625" style="54" customWidth="1"/>
    <col min="5" max="5" width="8.140625" style="54" customWidth="1"/>
    <col min="6" max="6" width="9.28125" style="50" customWidth="1"/>
    <col min="7" max="7" width="8.421875" style="50" customWidth="1"/>
    <col min="8" max="8" width="7.7109375" style="50" customWidth="1"/>
    <col min="9" max="9" width="6.421875" style="50" customWidth="1"/>
    <col min="10" max="10" width="9.8515625" style="50" customWidth="1"/>
    <col min="11" max="11" width="7.8515625" style="50" customWidth="1"/>
    <col min="12" max="12" width="7.7109375" style="50" customWidth="1"/>
    <col min="13" max="13" width="6.57421875" style="50" bestFit="1" customWidth="1"/>
    <col min="14" max="14" width="7.421875" style="55" hidden="1" customWidth="1" outlineLevel="1"/>
    <col min="15" max="15" width="9.57421875" style="55" hidden="1" customWidth="1" outlineLevel="1"/>
    <col min="16" max="16" width="5.140625" style="50" customWidth="1" collapsed="1"/>
    <col min="17" max="17" width="7.57421875" style="50" customWidth="1"/>
    <col min="18" max="18" width="7.140625" style="50" bestFit="1" customWidth="1"/>
    <col min="19" max="19" width="7.140625" style="55" hidden="1" customWidth="1" outlineLevel="1"/>
    <col min="20" max="20" width="9.421875" style="55" hidden="1" customWidth="1" outlineLevel="1"/>
    <col min="21" max="21" width="5.421875" style="50" bestFit="1" customWidth="1" collapsed="1"/>
    <col min="22" max="22" width="8.28125" style="50" customWidth="1"/>
    <col min="23" max="23" width="7.00390625" style="50" bestFit="1" customWidth="1"/>
    <col min="24" max="24" width="7.00390625" style="55" hidden="1" customWidth="1" outlineLevel="1"/>
    <col min="25" max="25" width="8.140625" style="55" hidden="1" customWidth="1" outlineLevel="1"/>
    <col min="26" max="26" width="6.140625" style="50" bestFit="1" customWidth="1" collapsed="1"/>
    <col min="27" max="27" width="8.421875" style="50" customWidth="1"/>
    <col min="28" max="28" width="7.00390625" style="50" customWidth="1"/>
    <col min="29" max="29" width="7.8515625" style="55" hidden="1" customWidth="1" outlineLevel="1"/>
    <col min="30" max="30" width="11.28125" style="55" hidden="1" customWidth="1" outlineLevel="1"/>
    <col min="31" max="31" width="5.00390625" style="50" bestFit="1" customWidth="1" collapsed="1"/>
    <col min="32" max="32" width="7.8515625" style="50" customWidth="1"/>
    <col min="33" max="33" width="6.7109375" style="50" bestFit="1" customWidth="1"/>
    <col min="34" max="34" width="7.421875" style="55" hidden="1" customWidth="1" outlineLevel="1"/>
    <col min="35" max="35" width="8.28125" style="55" hidden="1" customWidth="1" outlineLevel="1"/>
    <col min="36" max="36" width="5.00390625" style="50" bestFit="1" customWidth="1" collapsed="1"/>
    <col min="37" max="37" width="7.140625" style="50" customWidth="1"/>
    <col min="38" max="38" width="6.7109375" style="50" bestFit="1" customWidth="1"/>
    <col min="39" max="39" width="7.140625" style="55" hidden="1" customWidth="1" outlineLevel="1"/>
    <col min="40" max="40" width="7.28125" style="55" hidden="1" customWidth="1" outlineLevel="1"/>
    <col min="41" max="41" width="5.00390625" style="50" bestFit="1" customWidth="1" collapsed="1"/>
    <col min="42" max="42" width="7.28125" style="50" customWidth="1"/>
    <col min="43" max="43" width="6.421875" style="50" customWidth="1"/>
    <col min="44" max="44" width="7.28125" style="55" hidden="1" customWidth="1" outlineLevel="1"/>
    <col min="45" max="45" width="8.421875" style="55" hidden="1" customWidth="1" outlineLevel="1"/>
    <col min="46" max="46" width="5.00390625" style="50" bestFit="1" customWidth="1" collapsed="1"/>
    <col min="47" max="47" width="7.57421875" style="50" bestFit="1" customWidth="1"/>
    <col min="48" max="48" width="6.7109375" style="50" bestFit="1" customWidth="1"/>
    <col min="49" max="49" width="7.421875" style="55" hidden="1" customWidth="1" outlineLevel="1"/>
    <col min="50" max="50" width="8.57421875" style="55" hidden="1" customWidth="1" outlineLevel="1"/>
    <col min="51" max="51" width="5.00390625" style="50" bestFit="1" customWidth="1" collapsed="1"/>
    <col min="52" max="52" width="8.00390625" style="50" customWidth="1"/>
    <col min="53" max="53" width="6.140625" style="50" bestFit="1" customWidth="1"/>
    <col min="54" max="54" width="8.00390625" style="55" hidden="1" customWidth="1" outlineLevel="1"/>
    <col min="55" max="55" width="8.421875" style="55" hidden="1" customWidth="1" outlineLevel="1"/>
    <col min="56" max="56" width="5.00390625" style="50" bestFit="1" customWidth="1" collapsed="1"/>
    <col min="57" max="57" width="7.28125" style="50" customWidth="1"/>
    <col min="58" max="58" width="7.7109375" style="50" customWidth="1"/>
    <col min="59" max="59" width="6.7109375" style="55" hidden="1" customWidth="1" outlineLevel="1"/>
    <col min="60" max="60" width="11.28125" style="55" hidden="1" customWidth="1" outlineLevel="1"/>
    <col min="61" max="61" width="6.140625" style="50" customWidth="1" collapsed="1"/>
    <col min="62" max="62" width="7.28125" style="50" customWidth="1"/>
    <col min="63" max="63" width="7.00390625" style="50" bestFit="1" customWidth="1"/>
    <col min="64" max="64" width="7.8515625" style="55" hidden="1" customWidth="1" outlineLevel="1"/>
    <col min="65" max="65" width="10.57421875" style="55" hidden="1" customWidth="1" outlineLevel="1"/>
    <col min="66" max="66" width="7.28125" style="50" customWidth="1" collapsed="1"/>
    <col min="67" max="67" width="7.00390625" style="50" customWidth="1"/>
    <col min="68" max="68" width="6.421875" style="50" customWidth="1"/>
    <col min="69" max="69" width="6.7109375" style="55" hidden="1" customWidth="1" outlineLevel="1"/>
    <col min="70" max="70" width="7.7109375" style="55" hidden="1" customWidth="1" outlineLevel="1"/>
    <col min="71" max="71" width="7.28125" style="50" customWidth="1" collapsed="1"/>
    <col min="72" max="72" width="9.7109375" style="56" customWidth="1"/>
    <col min="73" max="73" width="12.00390625" style="57" customWidth="1"/>
    <col min="74" max="74" width="8.8515625" style="50" hidden="1" customWidth="1"/>
    <col min="75" max="75" width="8.7109375" style="50" customWidth="1"/>
    <col min="76" max="76" width="14.7109375" style="101" hidden="1" customWidth="1" outlineLevel="1"/>
    <col min="77" max="77" width="16.28125" style="101" hidden="1" customWidth="1" outlineLevel="1"/>
    <col min="78" max="78" width="8.00390625" style="50" customWidth="1" collapsed="1"/>
    <col min="79" max="90" width="8.00390625" style="50" customWidth="1"/>
    <col min="91" max="16384" width="9.140625" style="50" customWidth="1"/>
  </cols>
  <sheetData>
    <row r="1" ht="16.5" customHeight="1"/>
    <row r="2" spans="2:73" ht="33" customHeight="1">
      <c r="B2" s="544" t="s">
        <v>527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  <c r="AQ2" s="544"/>
      <c r="AR2" s="544"/>
      <c r="AS2" s="544"/>
      <c r="AT2" s="544"/>
      <c r="AU2" s="544"/>
      <c r="AV2" s="544"/>
      <c r="AW2" s="544"/>
      <c r="AX2" s="544"/>
      <c r="AY2" s="544"/>
      <c r="AZ2" s="544"/>
      <c r="BA2" s="544"/>
      <c r="BB2" s="544"/>
      <c r="BC2" s="544"/>
      <c r="BD2" s="544"/>
      <c r="BE2" s="544"/>
      <c r="BF2" s="544"/>
      <c r="BG2" s="544"/>
      <c r="BH2" s="544"/>
      <c r="BI2" s="544"/>
      <c r="BJ2" s="544"/>
      <c r="BK2" s="544"/>
      <c r="BL2" s="544"/>
      <c r="BM2" s="544"/>
      <c r="BN2" s="544"/>
      <c r="BO2" s="544"/>
      <c r="BP2" s="544"/>
      <c r="BQ2" s="544"/>
      <c r="BR2" s="544"/>
      <c r="BS2" s="544"/>
      <c r="BT2" s="544"/>
      <c r="BU2" s="58"/>
    </row>
    <row r="3" spans="2:77" s="59" customFormat="1" ht="23.25" hidden="1">
      <c r="B3" s="95"/>
      <c r="C3" s="93"/>
      <c r="D3" s="60"/>
      <c r="E3" s="60"/>
      <c r="J3" s="132" t="s">
        <v>198</v>
      </c>
      <c r="L3" s="133">
        <f>P133+U133+практика!E4</f>
        <v>60</v>
      </c>
      <c r="M3" s="124"/>
      <c r="N3" s="124"/>
      <c r="O3" s="124"/>
      <c r="P3" s="124"/>
      <c r="Q3" s="124"/>
      <c r="R3" s="124"/>
      <c r="S3" s="124"/>
      <c r="T3" s="124"/>
      <c r="U3" s="124"/>
      <c r="V3" s="133">
        <f>Z133+AE133+практика!E5</f>
        <v>60</v>
      </c>
      <c r="W3" s="124"/>
      <c r="X3" s="124"/>
      <c r="Y3" s="124"/>
      <c r="Z3" s="124"/>
      <c r="AA3" s="124"/>
      <c r="AB3" s="124"/>
      <c r="AC3" s="124"/>
      <c r="AD3" s="124"/>
      <c r="AE3" s="124"/>
      <c r="AF3" s="133">
        <f>AJ133+AO133+практика!L3</f>
        <v>60</v>
      </c>
      <c r="AG3" s="124"/>
      <c r="AH3" s="124"/>
      <c r="AI3" s="124"/>
      <c r="AJ3" s="124"/>
      <c r="AK3" s="124"/>
      <c r="AL3" s="124"/>
      <c r="AM3" s="124"/>
      <c r="AN3" s="124"/>
      <c r="AO3" s="124"/>
      <c r="AP3" s="133">
        <f>AT133+AY133+практика!L4</f>
        <v>60</v>
      </c>
      <c r="AQ3" s="124"/>
      <c r="AR3" s="124"/>
      <c r="AS3" s="124"/>
      <c r="AT3" s="124"/>
      <c r="AU3" s="124"/>
      <c r="AV3" s="124"/>
      <c r="AW3" s="124"/>
      <c r="AX3" s="124"/>
      <c r="AY3" s="124"/>
      <c r="AZ3" s="133">
        <f>BD133+BI133+практика!L5</f>
        <v>60</v>
      </c>
      <c r="BA3" s="124"/>
      <c r="BB3" s="124"/>
      <c r="BC3" s="124"/>
      <c r="BD3" s="124"/>
      <c r="BE3" s="124"/>
      <c r="BF3" s="124"/>
      <c r="BG3" s="124"/>
      <c r="BH3" s="124"/>
      <c r="BI3" s="124"/>
      <c r="BJ3" s="133">
        <f>BN133+BS133+практика!L6</f>
        <v>60</v>
      </c>
      <c r="BK3" s="124"/>
      <c r="BL3" s="61"/>
      <c r="BM3" s="61"/>
      <c r="BN3" s="61"/>
      <c r="BO3" s="61"/>
      <c r="BP3" s="61"/>
      <c r="BQ3" s="61"/>
      <c r="BR3" s="61"/>
      <c r="BS3" s="61"/>
      <c r="BT3" s="77">
        <f>SUM(L3:BS3)</f>
        <v>360</v>
      </c>
      <c r="BU3" s="63"/>
      <c r="BV3" s="59">
        <f>SUM(BV5:BV121)+практика!E4+практика!E5+практика!L3+практика!L4+практика!L5</f>
        <v>159</v>
      </c>
      <c r="BX3" s="101">
        <f>SUM(BX11:BX121)</f>
        <v>46.285714285714285</v>
      </c>
      <c r="BY3" s="101">
        <f>SUM(BY11:BY121)</f>
        <v>47.42857142857142</v>
      </c>
    </row>
    <row r="4" spans="2:73" ht="27.75" customHeight="1" thickBot="1">
      <c r="B4" s="545" t="s">
        <v>39</v>
      </c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545"/>
      <c r="AR4" s="545"/>
      <c r="AS4" s="545"/>
      <c r="AT4" s="545"/>
      <c r="AU4" s="545"/>
      <c r="AV4" s="545"/>
      <c r="AW4" s="545"/>
      <c r="AX4" s="545"/>
      <c r="AY4" s="545"/>
      <c r="AZ4" s="545"/>
      <c r="BA4" s="545"/>
      <c r="BB4" s="545"/>
      <c r="BC4" s="545"/>
      <c r="BD4" s="545"/>
      <c r="BE4" s="545"/>
      <c r="BF4" s="545"/>
      <c r="BG4" s="545"/>
      <c r="BH4" s="545"/>
      <c r="BI4" s="545"/>
      <c r="BJ4" s="545"/>
      <c r="BK4" s="545"/>
      <c r="BL4" s="545"/>
      <c r="BM4" s="545"/>
      <c r="BN4" s="545"/>
      <c r="BO4" s="545"/>
      <c r="BP4" s="545"/>
      <c r="BQ4" s="545"/>
      <c r="BR4" s="545"/>
      <c r="BS4" s="545"/>
      <c r="BT4" s="545"/>
      <c r="BU4" s="135"/>
    </row>
    <row r="5" spans="2:131" s="65" customFormat="1" ht="19.5">
      <c r="B5" s="546" t="s">
        <v>509</v>
      </c>
      <c r="C5" s="549" t="s">
        <v>328</v>
      </c>
      <c r="D5" s="552" t="s">
        <v>40</v>
      </c>
      <c r="E5" s="555" t="s">
        <v>41</v>
      </c>
      <c r="F5" s="558" t="s">
        <v>122</v>
      </c>
      <c r="G5" s="559"/>
      <c r="H5" s="559"/>
      <c r="I5" s="559"/>
      <c r="J5" s="559"/>
      <c r="K5" s="560"/>
      <c r="L5" s="561" t="s">
        <v>45</v>
      </c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2"/>
      <c r="AK5" s="562"/>
      <c r="AL5" s="562"/>
      <c r="AM5" s="562"/>
      <c r="AN5" s="562"/>
      <c r="AO5" s="562"/>
      <c r="AP5" s="562"/>
      <c r="AQ5" s="562"/>
      <c r="AR5" s="562"/>
      <c r="AS5" s="562"/>
      <c r="AT5" s="562"/>
      <c r="AU5" s="562"/>
      <c r="AV5" s="562"/>
      <c r="AW5" s="562"/>
      <c r="AX5" s="562"/>
      <c r="AY5" s="562"/>
      <c r="AZ5" s="562"/>
      <c r="BA5" s="562"/>
      <c r="BB5" s="562"/>
      <c r="BC5" s="562"/>
      <c r="BD5" s="562"/>
      <c r="BE5" s="562"/>
      <c r="BF5" s="562"/>
      <c r="BG5" s="562"/>
      <c r="BH5" s="562"/>
      <c r="BI5" s="562"/>
      <c r="BJ5" s="562"/>
      <c r="BK5" s="562"/>
      <c r="BL5" s="562"/>
      <c r="BM5" s="562"/>
      <c r="BN5" s="562"/>
      <c r="BO5" s="562"/>
      <c r="BP5" s="562"/>
      <c r="BQ5" s="562"/>
      <c r="BR5" s="562"/>
      <c r="BS5" s="563"/>
      <c r="BT5" s="520" t="s">
        <v>51</v>
      </c>
      <c r="BU5" s="520" t="s">
        <v>199</v>
      </c>
      <c r="BV5" s="64"/>
      <c r="BW5" s="64"/>
      <c r="BX5" s="102"/>
      <c r="BY5" s="102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</row>
    <row r="6" spans="2:131" ht="19.5" customHeight="1">
      <c r="B6" s="547"/>
      <c r="C6" s="550"/>
      <c r="D6" s="553"/>
      <c r="E6" s="556"/>
      <c r="F6" s="538" t="s">
        <v>36</v>
      </c>
      <c r="G6" s="542" t="s">
        <v>42</v>
      </c>
      <c r="H6" s="535" t="s">
        <v>43</v>
      </c>
      <c r="I6" s="534"/>
      <c r="J6" s="534"/>
      <c r="K6" s="537"/>
      <c r="L6" s="535" t="s">
        <v>46</v>
      </c>
      <c r="M6" s="534"/>
      <c r="N6" s="534"/>
      <c r="O6" s="534"/>
      <c r="P6" s="534"/>
      <c r="Q6" s="534"/>
      <c r="R6" s="534"/>
      <c r="S6" s="533"/>
      <c r="T6" s="533"/>
      <c r="U6" s="537"/>
      <c r="V6" s="535" t="s">
        <v>47</v>
      </c>
      <c r="W6" s="534"/>
      <c r="X6" s="534"/>
      <c r="Y6" s="534"/>
      <c r="Z6" s="534"/>
      <c r="AA6" s="534"/>
      <c r="AB6" s="534"/>
      <c r="AC6" s="533"/>
      <c r="AD6" s="533"/>
      <c r="AE6" s="537"/>
      <c r="AF6" s="528" t="s">
        <v>48</v>
      </c>
      <c r="AG6" s="534"/>
      <c r="AH6" s="534"/>
      <c r="AI6" s="534"/>
      <c r="AJ6" s="534"/>
      <c r="AK6" s="534"/>
      <c r="AL6" s="534"/>
      <c r="AM6" s="533"/>
      <c r="AN6" s="533"/>
      <c r="AO6" s="533"/>
      <c r="AP6" s="535" t="s">
        <v>50</v>
      </c>
      <c r="AQ6" s="534"/>
      <c r="AR6" s="534"/>
      <c r="AS6" s="534"/>
      <c r="AT6" s="534"/>
      <c r="AU6" s="534"/>
      <c r="AV6" s="534"/>
      <c r="AW6" s="533"/>
      <c r="AX6" s="533"/>
      <c r="AY6" s="537"/>
      <c r="AZ6" s="528" t="s">
        <v>105</v>
      </c>
      <c r="BA6" s="534"/>
      <c r="BB6" s="534"/>
      <c r="BC6" s="534"/>
      <c r="BD6" s="534"/>
      <c r="BE6" s="534"/>
      <c r="BF6" s="534"/>
      <c r="BG6" s="533"/>
      <c r="BH6" s="533"/>
      <c r="BI6" s="533"/>
      <c r="BJ6" s="535" t="s">
        <v>49</v>
      </c>
      <c r="BK6" s="534"/>
      <c r="BL6" s="534"/>
      <c r="BM6" s="534"/>
      <c r="BN6" s="534"/>
      <c r="BO6" s="534"/>
      <c r="BP6" s="534"/>
      <c r="BQ6" s="533"/>
      <c r="BR6" s="533"/>
      <c r="BS6" s="533"/>
      <c r="BT6" s="521"/>
      <c r="BU6" s="521"/>
      <c r="BV6" s="66"/>
      <c r="BW6" s="66"/>
      <c r="BX6" s="85"/>
      <c r="BY6" s="85"/>
      <c r="BZ6" s="64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</row>
    <row r="7" spans="2:131" ht="43.5" customHeight="1">
      <c r="B7" s="547"/>
      <c r="C7" s="550"/>
      <c r="D7" s="553"/>
      <c r="E7" s="556"/>
      <c r="F7" s="538"/>
      <c r="G7" s="542"/>
      <c r="H7" s="538" t="s">
        <v>117</v>
      </c>
      <c r="I7" s="540" t="s">
        <v>131</v>
      </c>
      <c r="J7" s="540" t="s">
        <v>132</v>
      </c>
      <c r="K7" s="542" t="s">
        <v>133</v>
      </c>
      <c r="L7" s="535" t="s">
        <v>504</v>
      </c>
      <c r="M7" s="534"/>
      <c r="N7" s="534"/>
      <c r="O7" s="534"/>
      <c r="P7" s="534"/>
      <c r="Q7" s="534" t="s">
        <v>505</v>
      </c>
      <c r="R7" s="534"/>
      <c r="S7" s="533"/>
      <c r="T7" s="533"/>
      <c r="U7" s="537"/>
      <c r="V7" s="535" t="s">
        <v>545</v>
      </c>
      <c r="W7" s="534"/>
      <c r="X7" s="534"/>
      <c r="Y7" s="534"/>
      <c r="Z7" s="534"/>
      <c r="AA7" s="534" t="s">
        <v>546</v>
      </c>
      <c r="AB7" s="534"/>
      <c r="AC7" s="533"/>
      <c r="AD7" s="533"/>
      <c r="AE7" s="537"/>
      <c r="AF7" s="528" t="s">
        <v>496</v>
      </c>
      <c r="AG7" s="534"/>
      <c r="AH7" s="534"/>
      <c r="AI7" s="534"/>
      <c r="AJ7" s="534"/>
      <c r="AK7" s="534" t="s">
        <v>497</v>
      </c>
      <c r="AL7" s="534"/>
      <c r="AM7" s="533"/>
      <c r="AN7" s="533"/>
      <c r="AO7" s="533"/>
      <c r="AP7" s="535" t="s">
        <v>498</v>
      </c>
      <c r="AQ7" s="534"/>
      <c r="AR7" s="534"/>
      <c r="AS7" s="534"/>
      <c r="AT7" s="534"/>
      <c r="AU7" s="534" t="s">
        <v>499</v>
      </c>
      <c r="AV7" s="534"/>
      <c r="AW7" s="533"/>
      <c r="AX7" s="533"/>
      <c r="AY7" s="537"/>
      <c r="AZ7" s="528" t="s">
        <v>500</v>
      </c>
      <c r="BA7" s="534"/>
      <c r="BB7" s="534"/>
      <c r="BC7" s="534"/>
      <c r="BD7" s="534"/>
      <c r="BE7" s="534" t="s">
        <v>501</v>
      </c>
      <c r="BF7" s="534"/>
      <c r="BG7" s="533"/>
      <c r="BH7" s="533"/>
      <c r="BI7" s="533"/>
      <c r="BJ7" s="535" t="s">
        <v>502</v>
      </c>
      <c r="BK7" s="534"/>
      <c r="BL7" s="534"/>
      <c r="BM7" s="534"/>
      <c r="BN7" s="534"/>
      <c r="BO7" s="534" t="s">
        <v>503</v>
      </c>
      <c r="BP7" s="534"/>
      <c r="BQ7" s="533"/>
      <c r="BR7" s="533"/>
      <c r="BS7" s="533"/>
      <c r="BT7" s="521"/>
      <c r="BU7" s="521"/>
      <c r="BV7" s="66"/>
      <c r="BW7" s="66"/>
      <c r="BX7" s="85"/>
      <c r="BY7" s="85"/>
      <c r="BZ7" s="64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</row>
    <row r="8" spans="2:131" ht="26.25" customHeight="1" hidden="1" outlineLevel="1">
      <c r="B8" s="547"/>
      <c r="C8" s="550"/>
      <c r="D8" s="553"/>
      <c r="E8" s="556"/>
      <c r="F8" s="538"/>
      <c r="G8" s="542"/>
      <c r="H8" s="538"/>
      <c r="I8" s="540"/>
      <c r="J8" s="540"/>
      <c r="K8" s="542"/>
      <c r="L8" s="526">
        <v>20</v>
      </c>
      <c r="M8" s="527"/>
      <c r="N8" s="527"/>
      <c r="O8" s="527"/>
      <c r="P8" s="528"/>
      <c r="Q8" s="533">
        <v>18</v>
      </c>
      <c r="R8" s="527"/>
      <c r="S8" s="527"/>
      <c r="T8" s="527"/>
      <c r="U8" s="536"/>
      <c r="V8" s="526">
        <v>19</v>
      </c>
      <c r="W8" s="527"/>
      <c r="X8" s="527"/>
      <c r="Y8" s="527"/>
      <c r="Z8" s="528"/>
      <c r="AA8" s="533">
        <v>18</v>
      </c>
      <c r="AB8" s="527"/>
      <c r="AC8" s="527"/>
      <c r="AD8" s="527"/>
      <c r="AE8" s="536"/>
      <c r="AF8" s="527">
        <v>18</v>
      </c>
      <c r="AG8" s="527"/>
      <c r="AH8" s="527"/>
      <c r="AI8" s="527"/>
      <c r="AJ8" s="528"/>
      <c r="AK8" s="533">
        <v>17</v>
      </c>
      <c r="AL8" s="527"/>
      <c r="AM8" s="527"/>
      <c r="AN8" s="527"/>
      <c r="AO8" s="536"/>
      <c r="AP8" s="526">
        <v>19</v>
      </c>
      <c r="AQ8" s="527"/>
      <c r="AR8" s="527"/>
      <c r="AS8" s="527"/>
      <c r="AT8" s="528"/>
      <c r="AU8" s="533">
        <v>17</v>
      </c>
      <c r="AV8" s="527"/>
      <c r="AW8" s="527"/>
      <c r="AX8" s="527"/>
      <c r="AY8" s="536"/>
      <c r="AZ8" s="526">
        <v>18</v>
      </c>
      <c r="BA8" s="527"/>
      <c r="BB8" s="527"/>
      <c r="BC8" s="527"/>
      <c r="BD8" s="528"/>
      <c r="BE8" s="533">
        <v>16</v>
      </c>
      <c r="BF8" s="527"/>
      <c r="BG8" s="527"/>
      <c r="BH8" s="527"/>
      <c r="BI8" s="536"/>
      <c r="BJ8" s="526">
        <v>17</v>
      </c>
      <c r="BK8" s="527"/>
      <c r="BL8" s="527"/>
      <c r="BM8" s="527"/>
      <c r="BN8" s="528"/>
      <c r="BO8" s="533">
        <v>17</v>
      </c>
      <c r="BP8" s="527"/>
      <c r="BQ8" s="527"/>
      <c r="BR8" s="527"/>
      <c r="BS8" s="527"/>
      <c r="BT8" s="521"/>
      <c r="BU8" s="521"/>
      <c r="BV8" s="66"/>
      <c r="BW8" s="66"/>
      <c r="BX8" s="85"/>
      <c r="BY8" s="85"/>
      <c r="BZ8" s="64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</row>
    <row r="9" spans="2:131" ht="126" customHeight="1" collapsed="1" thickBot="1">
      <c r="B9" s="548"/>
      <c r="C9" s="551"/>
      <c r="D9" s="554"/>
      <c r="E9" s="557"/>
      <c r="F9" s="539"/>
      <c r="G9" s="543"/>
      <c r="H9" s="539"/>
      <c r="I9" s="541"/>
      <c r="J9" s="541"/>
      <c r="K9" s="543"/>
      <c r="L9" s="372" t="s">
        <v>52</v>
      </c>
      <c r="M9" s="374" t="s">
        <v>53</v>
      </c>
      <c r="N9" s="375" t="s">
        <v>44</v>
      </c>
      <c r="O9" s="375" t="s">
        <v>58</v>
      </c>
      <c r="P9" s="374" t="s">
        <v>54</v>
      </c>
      <c r="Q9" s="374" t="s">
        <v>52</v>
      </c>
      <c r="R9" s="374" t="s">
        <v>53</v>
      </c>
      <c r="S9" s="375" t="s">
        <v>44</v>
      </c>
      <c r="T9" s="375" t="s">
        <v>58</v>
      </c>
      <c r="U9" s="373" t="s">
        <v>54</v>
      </c>
      <c r="V9" s="372" t="s">
        <v>52</v>
      </c>
      <c r="W9" s="374" t="s">
        <v>53</v>
      </c>
      <c r="X9" s="375" t="s">
        <v>44</v>
      </c>
      <c r="Y9" s="375" t="s">
        <v>58</v>
      </c>
      <c r="Z9" s="374" t="s">
        <v>54</v>
      </c>
      <c r="AA9" s="374" t="s">
        <v>52</v>
      </c>
      <c r="AB9" s="374" t="s">
        <v>53</v>
      </c>
      <c r="AC9" s="375" t="s">
        <v>44</v>
      </c>
      <c r="AD9" s="375" t="s">
        <v>58</v>
      </c>
      <c r="AE9" s="373" t="s">
        <v>54</v>
      </c>
      <c r="AF9" s="376" t="s">
        <v>52</v>
      </c>
      <c r="AG9" s="374" t="s">
        <v>53</v>
      </c>
      <c r="AH9" s="375" t="s">
        <v>44</v>
      </c>
      <c r="AI9" s="375" t="s">
        <v>58</v>
      </c>
      <c r="AJ9" s="374" t="s">
        <v>54</v>
      </c>
      <c r="AK9" s="374" t="s">
        <v>52</v>
      </c>
      <c r="AL9" s="374" t="s">
        <v>53</v>
      </c>
      <c r="AM9" s="375" t="s">
        <v>44</v>
      </c>
      <c r="AN9" s="375" t="s">
        <v>58</v>
      </c>
      <c r="AO9" s="377" t="s">
        <v>54</v>
      </c>
      <c r="AP9" s="372" t="s">
        <v>52</v>
      </c>
      <c r="AQ9" s="374" t="s">
        <v>53</v>
      </c>
      <c r="AR9" s="375" t="s">
        <v>44</v>
      </c>
      <c r="AS9" s="375" t="s">
        <v>58</v>
      </c>
      <c r="AT9" s="374" t="s">
        <v>54</v>
      </c>
      <c r="AU9" s="374" t="s">
        <v>52</v>
      </c>
      <c r="AV9" s="374" t="s">
        <v>53</v>
      </c>
      <c r="AW9" s="375" t="s">
        <v>44</v>
      </c>
      <c r="AX9" s="375" t="s">
        <v>58</v>
      </c>
      <c r="AY9" s="373" t="s">
        <v>54</v>
      </c>
      <c r="AZ9" s="376" t="s">
        <v>52</v>
      </c>
      <c r="BA9" s="374" t="s">
        <v>53</v>
      </c>
      <c r="BB9" s="375" t="s">
        <v>44</v>
      </c>
      <c r="BC9" s="375" t="s">
        <v>58</v>
      </c>
      <c r="BD9" s="374" t="s">
        <v>54</v>
      </c>
      <c r="BE9" s="374" t="s">
        <v>52</v>
      </c>
      <c r="BF9" s="374" t="s">
        <v>53</v>
      </c>
      <c r="BG9" s="375" t="s">
        <v>44</v>
      </c>
      <c r="BH9" s="375" t="s">
        <v>58</v>
      </c>
      <c r="BI9" s="377" t="s">
        <v>54</v>
      </c>
      <c r="BJ9" s="372" t="s">
        <v>52</v>
      </c>
      <c r="BK9" s="374" t="s">
        <v>53</v>
      </c>
      <c r="BL9" s="375" t="s">
        <v>44</v>
      </c>
      <c r="BM9" s="375" t="s">
        <v>58</v>
      </c>
      <c r="BN9" s="374" t="s">
        <v>54</v>
      </c>
      <c r="BO9" s="374" t="s">
        <v>52</v>
      </c>
      <c r="BP9" s="374" t="s">
        <v>53</v>
      </c>
      <c r="BQ9" s="375" t="s">
        <v>44</v>
      </c>
      <c r="BR9" s="375" t="s">
        <v>58</v>
      </c>
      <c r="BS9" s="377" t="s">
        <v>54</v>
      </c>
      <c r="BT9" s="522"/>
      <c r="BU9" s="522"/>
      <c r="BV9" s="66"/>
      <c r="BW9" s="66"/>
      <c r="BX9" s="85"/>
      <c r="BY9" s="85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</row>
    <row r="10" spans="2:131" s="68" customFormat="1" ht="39" outlineLevel="1">
      <c r="B10" s="363">
        <v>1</v>
      </c>
      <c r="C10" s="364" t="s">
        <v>55</v>
      </c>
      <c r="D10" s="158"/>
      <c r="E10" s="261"/>
      <c r="F10" s="348">
        <f aca="true" t="shared" si="0" ref="F10:M10">SUM(F11:F48)</f>
        <v>4575</v>
      </c>
      <c r="G10" s="349">
        <f t="shared" si="0"/>
        <v>2326</v>
      </c>
      <c r="H10" s="348">
        <f t="shared" si="0"/>
        <v>454</v>
      </c>
      <c r="I10" s="348">
        <f t="shared" si="0"/>
        <v>839</v>
      </c>
      <c r="J10" s="348">
        <f t="shared" si="0"/>
        <v>937</v>
      </c>
      <c r="K10" s="365">
        <f t="shared" si="0"/>
        <v>96</v>
      </c>
      <c r="L10" s="348">
        <f t="shared" si="0"/>
        <v>648</v>
      </c>
      <c r="M10" s="348">
        <f t="shared" si="0"/>
        <v>345</v>
      </c>
      <c r="N10" s="348">
        <f>SUM(N11:N45)</f>
        <v>58</v>
      </c>
      <c r="O10" s="348">
        <f>SUM(O11:O45)</f>
        <v>287</v>
      </c>
      <c r="P10" s="348">
        <f>SUM(P11:P48)</f>
        <v>18</v>
      </c>
      <c r="Q10" s="348">
        <f>SUM(Q11:Q48)</f>
        <v>873</v>
      </c>
      <c r="R10" s="348">
        <f>SUM(R11:R48)</f>
        <v>435</v>
      </c>
      <c r="S10" s="348">
        <f>SUM(S11:S45)</f>
        <v>94</v>
      </c>
      <c r="T10" s="348">
        <f>SUM(T11:T45)</f>
        <v>341</v>
      </c>
      <c r="U10" s="365">
        <f>SUM(U11:U48)</f>
        <v>24</v>
      </c>
      <c r="V10" s="348">
        <f>SUM(V11:V48)</f>
        <v>786</v>
      </c>
      <c r="W10" s="348">
        <f>SUM(W11:W48)</f>
        <v>424</v>
      </c>
      <c r="X10" s="348">
        <f>SUM(X11:X45)</f>
        <v>84</v>
      </c>
      <c r="Y10" s="348">
        <f>SUM(Y11:Y45)</f>
        <v>340</v>
      </c>
      <c r="Z10" s="348">
        <f>SUM(Z11:Z48)</f>
        <v>22</v>
      </c>
      <c r="AA10" s="348">
        <f>SUM(AA11:AA48)</f>
        <v>756</v>
      </c>
      <c r="AB10" s="348">
        <f>SUM(AB11:AB48)</f>
        <v>386</v>
      </c>
      <c r="AC10" s="348">
        <f>SUM(AC11:AC45)</f>
        <v>100</v>
      </c>
      <c r="AD10" s="348">
        <f>SUM(AD11:AD45)</f>
        <v>286</v>
      </c>
      <c r="AE10" s="365">
        <f>SUM(AE11:AE48)</f>
        <v>21</v>
      </c>
      <c r="AF10" s="348">
        <f>SUM(AF11:AF48)</f>
        <v>544</v>
      </c>
      <c r="AG10" s="348">
        <f>SUM(AG11:AG48)</f>
        <v>251</v>
      </c>
      <c r="AH10" s="348">
        <f>SUM(AH11:AH45)</f>
        <v>50</v>
      </c>
      <c r="AI10" s="348">
        <f>SUM(AI11:AI45)</f>
        <v>201</v>
      </c>
      <c r="AJ10" s="348">
        <f>SUM(AJ11:AJ48)</f>
        <v>15</v>
      </c>
      <c r="AK10" s="348">
        <f>SUM(AK11:AK48)</f>
        <v>444</v>
      </c>
      <c r="AL10" s="348">
        <f>SUM(AL11:AL48)</f>
        <v>193</v>
      </c>
      <c r="AM10" s="348">
        <f>SUM(AM11:AM45)</f>
        <v>34</v>
      </c>
      <c r="AN10" s="348">
        <f>SUM(AN11:AN45)</f>
        <v>159</v>
      </c>
      <c r="AO10" s="348">
        <f>SUM(AO11:AO48)</f>
        <v>12</v>
      </c>
      <c r="AP10" s="366">
        <f>SUM(AP11:AP48)</f>
        <v>0</v>
      </c>
      <c r="AQ10" s="367">
        <f>SUM(AQ11:AQ48)</f>
        <v>0</v>
      </c>
      <c r="AR10" s="367">
        <f>SUM(AR11:AR45)</f>
        <v>0</v>
      </c>
      <c r="AS10" s="367">
        <f>SUM(AS11:AS45)</f>
        <v>0</v>
      </c>
      <c r="AT10" s="367">
        <f>SUM(AT11:AT48)</f>
        <v>0</v>
      </c>
      <c r="AU10" s="367">
        <f>SUM(AU11:AU48)</f>
        <v>0</v>
      </c>
      <c r="AV10" s="367">
        <f>SUM(AV11:AV48)</f>
        <v>0</v>
      </c>
      <c r="AW10" s="367">
        <f>SUM(AW11:AW45)</f>
        <v>0</v>
      </c>
      <c r="AX10" s="367">
        <f>SUM(AX11:AX45)</f>
        <v>0</v>
      </c>
      <c r="AY10" s="368">
        <f>SUM(AY11:AY48)</f>
        <v>0</v>
      </c>
      <c r="AZ10" s="369">
        <f>SUM(AZ11:AZ48)</f>
        <v>0</v>
      </c>
      <c r="BA10" s="367">
        <f>SUM(BA11:BA48)</f>
        <v>0</v>
      </c>
      <c r="BB10" s="367">
        <f>SUM(BB11:BB45)</f>
        <v>0</v>
      </c>
      <c r="BC10" s="367">
        <f>SUM(BC11:BC45)</f>
        <v>0</v>
      </c>
      <c r="BD10" s="367">
        <f>SUM(BD11:BD48)</f>
        <v>0</v>
      </c>
      <c r="BE10" s="367">
        <f>SUM(BE11:BE48)</f>
        <v>136</v>
      </c>
      <c r="BF10" s="367">
        <f>SUM(BF11:BF48)</f>
        <v>70</v>
      </c>
      <c r="BG10" s="367">
        <f>SUM(BG11:BG45)</f>
        <v>0</v>
      </c>
      <c r="BH10" s="367">
        <f>SUM(BH11:BH45)</f>
        <v>0</v>
      </c>
      <c r="BI10" s="368">
        <f>SUM(BI11:BI48)</f>
        <v>3</v>
      </c>
      <c r="BJ10" s="369">
        <f>SUM(BJ11:BJ48)</f>
        <v>198</v>
      </c>
      <c r="BK10" s="367">
        <f>SUM(BK11:BK48)</f>
        <v>112</v>
      </c>
      <c r="BL10" s="367">
        <f>SUM(BL11:BL45)</f>
        <v>0</v>
      </c>
      <c r="BM10" s="367">
        <f>SUM(BM11:BM45)</f>
        <v>0</v>
      </c>
      <c r="BN10" s="367">
        <f>SUM(BN11:BN48)</f>
        <v>6</v>
      </c>
      <c r="BO10" s="367">
        <f>SUM(BO11:BO48)</f>
        <v>190</v>
      </c>
      <c r="BP10" s="367">
        <f>SUM(BP11:BP48)</f>
        <v>110</v>
      </c>
      <c r="BQ10" s="367">
        <f>SUM(BQ11:BQ45)</f>
        <v>0</v>
      </c>
      <c r="BR10" s="367">
        <f>SUM(BR11:BR45)</f>
        <v>0</v>
      </c>
      <c r="BS10" s="370">
        <f>SUM(BS11:BS48)</f>
        <v>6</v>
      </c>
      <c r="BT10" s="106">
        <f>SUM(BT11:BT48)</f>
        <v>127</v>
      </c>
      <c r="BU10" s="371"/>
      <c r="BV10" s="67"/>
      <c r="BW10" s="67"/>
      <c r="BX10" s="103"/>
      <c r="BY10" s="103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</row>
    <row r="11" spans="2:131" ht="58.5" outlineLevel="1">
      <c r="B11" s="144" t="s">
        <v>148</v>
      </c>
      <c r="C11" s="145" t="s">
        <v>585</v>
      </c>
      <c r="D11" s="113"/>
      <c r="E11" s="114"/>
      <c r="F11" s="146"/>
      <c r="G11" s="147"/>
      <c r="H11" s="146"/>
      <c r="I11" s="146"/>
      <c r="J11" s="146"/>
      <c r="K11" s="118"/>
      <c r="L11" s="148"/>
      <c r="M11" s="146"/>
      <c r="N11" s="146"/>
      <c r="O11" s="146"/>
      <c r="P11" s="149"/>
      <c r="Q11" s="117"/>
      <c r="R11" s="146"/>
      <c r="S11" s="146"/>
      <c r="T11" s="146"/>
      <c r="U11" s="118"/>
      <c r="V11" s="148"/>
      <c r="W11" s="146"/>
      <c r="X11" s="146"/>
      <c r="Y11" s="146"/>
      <c r="Z11" s="146"/>
      <c r="AA11" s="146"/>
      <c r="AB11" s="146"/>
      <c r="AC11" s="146"/>
      <c r="AD11" s="146"/>
      <c r="AE11" s="118"/>
      <c r="AF11" s="148"/>
      <c r="AG11" s="146"/>
      <c r="AH11" s="146"/>
      <c r="AI11" s="146"/>
      <c r="AJ11" s="146"/>
      <c r="AK11" s="146"/>
      <c r="AL11" s="146"/>
      <c r="AM11" s="146"/>
      <c r="AN11" s="146"/>
      <c r="AO11" s="147"/>
      <c r="AP11" s="146"/>
      <c r="AQ11" s="146"/>
      <c r="AR11" s="146"/>
      <c r="AS11" s="146"/>
      <c r="AT11" s="146"/>
      <c r="AU11" s="146"/>
      <c r="AV11" s="146"/>
      <c r="AW11" s="146"/>
      <c r="AX11" s="146"/>
      <c r="AY11" s="118"/>
      <c r="AZ11" s="148"/>
      <c r="BA11" s="146"/>
      <c r="BB11" s="146"/>
      <c r="BC11" s="146"/>
      <c r="BD11" s="146"/>
      <c r="BE11" s="146"/>
      <c r="BF11" s="146"/>
      <c r="BG11" s="146"/>
      <c r="BH11" s="146"/>
      <c r="BI11" s="118"/>
      <c r="BJ11" s="146"/>
      <c r="BK11" s="146"/>
      <c r="BL11" s="146"/>
      <c r="BM11" s="146"/>
      <c r="BN11" s="146"/>
      <c r="BO11" s="146"/>
      <c r="BP11" s="146"/>
      <c r="BQ11" s="146"/>
      <c r="BR11" s="146"/>
      <c r="BS11" s="118"/>
      <c r="BT11" s="150"/>
      <c r="BU11" s="151"/>
      <c r="BV11" s="69">
        <f>SUM(BT12:BT14)</f>
        <v>9</v>
      </c>
      <c r="BW11" s="66"/>
      <c r="BX11" s="85"/>
      <c r="BY11" s="85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</row>
    <row r="12" spans="2:131" ht="37.5" outlineLevel="1">
      <c r="B12" s="152" t="s">
        <v>145</v>
      </c>
      <c r="C12" s="153" t="s">
        <v>555</v>
      </c>
      <c r="D12" s="104"/>
      <c r="E12" s="154" t="s">
        <v>156</v>
      </c>
      <c r="F12" s="109">
        <f>SUM(L12,Q12,V12,AA12,AF12,AK12,AP12,AU12,AZ12,BE12,BJ12,BO12)</f>
        <v>108</v>
      </c>
      <c r="G12" s="154">
        <f>SUM(H12:K12)</f>
        <v>54</v>
      </c>
      <c r="H12" s="109">
        <f>SUM(N12,S12,X12,AC12,AH12,AM12,AR12,AW12,BB12,BG12,BL12,BQ12)</f>
        <v>28</v>
      </c>
      <c r="I12" s="109"/>
      <c r="J12" s="109"/>
      <c r="K12" s="110">
        <f>SUM(O12,T12,Y12,AD12,AI12,AN12,AS12,AX12,BC12,BH12,BM12,BR12)</f>
        <v>26</v>
      </c>
      <c r="L12" s="107">
        <v>108</v>
      </c>
      <c r="M12" s="109">
        <f>SUM(N12:O12)</f>
        <v>54</v>
      </c>
      <c r="N12" s="109">
        <v>28</v>
      </c>
      <c r="O12" s="109">
        <v>26</v>
      </c>
      <c r="P12" s="108">
        <v>3</v>
      </c>
      <c r="Q12" s="109"/>
      <c r="R12" s="109"/>
      <c r="S12" s="109"/>
      <c r="T12" s="109"/>
      <c r="U12" s="108"/>
      <c r="V12" s="107"/>
      <c r="W12" s="109"/>
      <c r="X12" s="109"/>
      <c r="Y12" s="109"/>
      <c r="Z12" s="109"/>
      <c r="AA12" s="109"/>
      <c r="AB12" s="109"/>
      <c r="AC12" s="109"/>
      <c r="AD12" s="109"/>
      <c r="AE12" s="110"/>
      <c r="AF12" s="112"/>
      <c r="AG12" s="109"/>
      <c r="AH12" s="109"/>
      <c r="AI12" s="109"/>
      <c r="AJ12" s="109"/>
      <c r="AK12" s="109"/>
      <c r="AL12" s="109"/>
      <c r="AM12" s="109"/>
      <c r="AN12" s="109"/>
      <c r="AO12" s="100"/>
      <c r="AP12" s="109"/>
      <c r="AQ12" s="109"/>
      <c r="AR12" s="109"/>
      <c r="AS12" s="109"/>
      <c r="AT12" s="109"/>
      <c r="AU12" s="109"/>
      <c r="AV12" s="99"/>
      <c r="AW12" s="109"/>
      <c r="AX12" s="109"/>
      <c r="AY12" s="110"/>
      <c r="AZ12" s="112"/>
      <c r="BA12" s="109"/>
      <c r="BB12" s="109"/>
      <c r="BC12" s="109"/>
      <c r="BD12" s="109"/>
      <c r="BE12" s="109"/>
      <c r="BF12" s="109"/>
      <c r="BG12" s="109"/>
      <c r="BH12" s="109"/>
      <c r="BI12" s="110"/>
      <c r="BJ12" s="109"/>
      <c r="BK12" s="109"/>
      <c r="BL12" s="109"/>
      <c r="BM12" s="109"/>
      <c r="BN12" s="109"/>
      <c r="BO12" s="109"/>
      <c r="BP12" s="109"/>
      <c r="BQ12" s="109"/>
      <c r="BR12" s="109"/>
      <c r="BS12" s="110"/>
      <c r="BT12" s="155">
        <f aca="true" t="shared" si="1" ref="BT12:BT25">SUM(P12,U12,Z12,AE12,AJ12,AO12,AT12,AY12,BD12,BI12,BN12,BS12)</f>
        <v>3</v>
      </c>
      <c r="BU12" s="156" t="s">
        <v>349</v>
      </c>
      <c r="BW12" s="66"/>
      <c r="BX12" s="85"/>
      <c r="BY12" s="85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</row>
    <row r="13" spans="2:131" ht="45" customHeight="1" outlineLevel="1">
      <c r="B13" s="152" t="s">
        <v>146</v>
      </c>
      <c r="C13" s="153" t="s">
        <v>134</v>
      </c>
      <c r="D13" s="104">
        <v>2</v>
      </c>
      <c r="E13" s="110"/>
      <c r="F13" s="109">
        <f>SUM(L13,Q13,V13,AA13,AF13,AK13,AP13,AU13,AZ13,BE13,BJ13,BO13)</f>
        <v>108</v>
      </c>
      <c r="G13" s="154">
        <f>SUM(H13:K13)</f>
        <v>54</v>
      </c>
      <c r="H13" s="109">
        <f>SUM(N13,S13,X13,AC13,AH13,AM13,AR13,AW13,BB13,BG13,BL13,BQ13)</f>
        <v>28</v>
      </c>
      <c r="I13" s="109"/>
      <c r="J13" s="109"/>
      <c r="K13" s="110">
        <f>SUM(O13,T13,Y13,AD13,AI13,AN13,AS13,AX13,BC13,BH13,BM13,BR13)</f>
        <v>26</v>
      </c>
      <c r="L13" s="109"/>
      <c r="M13" s="109">
        <f>SUM(N13:O13)</f>
        <v>0</v>
      </c>
      <c r="N13" s="109"/>
      <c r="O13" s="109"/>
      <c r="P13" s="108"/>
      <c r="Q13" s="109">
        <v>108</v>
      </c>
      <c r="R13" s="109">
        <f>SUM(S13:T13)</f>
        <v>54</v>
      </c>
      <c r="S13" s="109">
        <v>28</v>
      </c>
      <c r="T13" s="109">
        <v>26</v>
      </c>
      <c r="U13" s="110">
        <v>3</v>
      </c>
      <c r="V13" s="107"/>
      <c r="W13" s="109"/>
      <c r="X13" s="109"/>
      <c r="Y13" s="109"/>
      <c r="Z13" s="109"/>
      <c r="AA13" s="109"/>
      <c r="AB13" s="109"/>
      <c r="AC13" s="109"/>
      <c r="AD13" s="109"/>
      <c r="AE13" s="110"/>
      <c r="AF13" s="112"/>
      <c r="AG13" s="109"/>
      <c r="AH13" s="109"/>
      <c r="AI13" s="109"/>
      <c r="AJ13" s="109"/>
      <c r="AK13" s="109"/>
      <c r="AL13" s="109"/>
      <c r="AM13" s="109"/>
      <c r="AN13" s="109"/>
      <c r="AO13" s="100"/>
      <c r="AP13" s="109"/>
      <c r="AQ13" s="109"/>
      <c r="AR13" s="109"/>
      <c r="AS13" s="109"/>
      <c r="AT13" s="109"/>
      <c r="AU13" s="109"/>
      <c r="AV13" s="99"/>
      <c r="AW13" s="109"/>
      <c r="AX13" s="109"/>
      <c r="AY13" s="110"/>
      <c r="AZ13" s="112"/>
      <c r="BA13" s="109"/>
      <c r="BB13" s="109"/>
      <c r="BC13" s="109"/>
      <c r="BD13" s="109"/>
      <c r="BE13" s="109"/>
      <c r="BF13" s="109"/>
      <c r="BG13" s="109"/>
      <c r="BH13" s="109"/>
      <c r="BI13" s="110"/>
      <c r="BJ13" s="109"/>
      <c r="BK13" s="109"/>
      <c r="BL13" s="109"/>
      <c r="BM13" s="109"/>
      <c r="BN13" s="109"/>
      <c r="BO13" s="109"/>
      <c r="BP13" s="109"/>
      <c r="BQ13" s="109"/>
      <c r="BR13" s="109"/>
      <c r="BS13" s="110"/>
      <c r="BT13" s="155">
        <f t="shared" si="1"/>
        <v>3</v>
      </c>
      <c r="BU13" s="156" t="s">
        <v>390</v>
      </c>
      <c r="BV13" s="66"/>
      <c r="BW13" s="66"/>
      <c r="BX13" s="85"/>
      <c r="BY13" s="85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</row>
    <row r="14" spans="2:131" ht="20.25" outlineLevel="1">
      <c r="B14" s="152" t="s">
        <v>147</v>
      </c>
      <c r="C14" s="157" t="s">
        <v>56</v>
      </c>
      <c r="D14" s="158"/>
      <c r="E14" s="159" t="s">
        <v>561</v>
      </c>
      <c r="F14" s="109">
        <f>SUM(L14,Q14,V14,AA14,AF14,AK14,AP14,AU14,AZ14,BE14,BJ14,BO14)</f>
        <v>108</v>
      </c>
      <c r="G14" s="154">
        <f>SUM(H14:K14)</f>
        <v>54</v>
      </c>
      <c r="H14" s="109">
        <f>SUM(N14,S14,X14,AC14,AH14,AM14,AR14,AW14,BB14,BG14,BL14,BQ14)</f>
        <v>28</v>
      </c>
      <c r="I14" s="109"/>
      <c r="J14" s="109"/>
      <c r="K14" s="110">
        <f>SUM(O14,T14,Y14,AD14,AI14,AN14,AS14,AX14,BC14,BH14,BM14,BR14)</f>
        <v>26</v>
      </c>
      <c r="L14" s="160"/>
      <c r="M14" s="161"/>
      <c r="N14" s="161"/>
      <c r="O14" s="161"/>
      <c r="P14" s="161"/>
      <c r="Q14" s="161"/>
      <c r="R14" s="161"/>
      <c r="S14" s="161"/>
      <c r="T14" s="161"/>
      <c r="U14" s="162"/>
      <c r="V14" s="160"/>
      <c r="W14" s="161">
        <f>SUM(X14:Y14)</f>
        <v>0</v>
      </c>
      <c r="X14" s="161"/>
      <c r="Y14" s="161"/>
      <c r="Z14" s="161"/>
      <c r="AA14" s="161">
        <v>108</v>
      </c>
      <c r="AB14" s="161">
        <f>SUM(AC14:AD14)</f>
        <v>54</v>
      </c>
      <c r="AC14" s="161">
        <v>28</v>
      </c>
      <c r="AD14" s="161">
        <v>26</v>
      </c>
      <c r="AE14" s="110">
        <v>3</v>
      </c>
      <c r="AF14" s="112"/>
      <c r="AG14" s="109"/>
      <c r="AH14" s="109"/>
      <c r="AI14" s="109"/>
      <c r="AJ14" s="109"/>
      <c r="AK14" s="109"/>
      <c r="AL14" s="109"/>
      <c r="AM14" s="109"/>
      <c r="AN14" s="109"/>
      <c r="AO14" s="100"/>
      <c r="AP14" s="109"/>
      <c r="AQ14" s="109"/>
      <c r="AR14" s="109"/>
      <c r="AS14" s="109"/>
      <c r="AT14" s="109"/>
      <c r="AU14" s="109"/>
      <c r="AV14" s="99"/>
      <c r="AW14" s="109"/>
      <c r="AX14" s="109"/>
      <c r="AY14" s="110"/>
      <c r="AZ14" s="112"/>
      <c r="BA14" s="109"/>
      <c r="BB14" s="109"/>
      <c r="BC14" s="109"/>
      <c r="BD14" s="109"/>
      <c r="BE14" s="109"/>
      <c r="BF14" s="109"/>
      <c r="BG14" s="109"/>
      <c r="BH14" s="109"/>
      <c r="BI14" s="110"/>
      <c r="BJ14" s="109"/>
      <c r="BK14" s="109"/>
      <c r="BL14" s="109"/>
      <c r="BM14" s="109"/>
      <c r="BN14" s="109"/>
      <c r="BO14" s="109"/>
      <c r="BP14" s="109"/>
      <c r="BQ14" s="109"/>
      <c r="BR14" s="109"/>
      <c r="BS14" s="110"/>
      <c r="BT14" s="155">
        <f t="shared" si="1"/>
        <v>3</v>
      </c>
      <c r="BU14" s="156" t="s">
        <v>655</v>
      </c>
      <c r="BV14" s="66"/>
      <c r="BW14" s="66"/>
      <c r="BX14" s="85"/>
      <c r="BY14" s="85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</row>
    <row r="15" spans="2:131" ht="39" outlineLevel="1">
      <c r="B15" s="163" t="s">
        <v>149</v>
      </c>
      <c r="C15" s="145" t="s">
        <v>150</v>
      </c>
      <c r="D15" s="113"/>
      <c r="E15" s="114"/>
      <c r="F15" s="146"/>
      <c r="G15" s="164"/>
      <c r="H15" s="146"/>
      <c r="I15" s="146"/>
      <c r="J15" s="146"/>
      <c r="K15" s="118"/>
      <c r="L15" s="146"/>
      <c r="M15" s="146"/>
      <c r="N15" s="146"/>
      <c r="O15" s="146"/>
      <c r="P15" s="149"/>
      <c r="Q15" s="117"/>
      <c r="R15" s="146"/>
      <c r="S15" s="146"/>
      <c r="T15" s="146"/>
      <c r="U15" s="118"/>
      <c r="V15" s="148"/>
      <c r="W15" s="117"/>
      <c r="X15" s="146"/>
      <c r="Y15" s="146"/>
      <c r="Z15" s="146"/>
      <c r="AA15" s="146"/>
      <c r="AB15" s="146"/>
      <c r="AC15" s="146"/>
      <c r="AD15" s="146"/>
      <c r="AE15" s="118"/>
      <c r="AF15" s="148"/>
      <c r="AG15" s="146"/>
      <c r="AH15" s="146"/>
      <c r="AI15" s="146"/>
      <c r="AJ15" s="146"/>
      <c r="AK15" s="146"/>
      <c r="AL15" s="146"/>
      <c r="AM15" s="146"/>
      <c r="AN15" s="146"/>
      <c r="AO15" s="147"/>
      <c r="AP15" s="146"/>
      <c r="AQ15" s="146"/>
      <c r="AR15" s="146"/>
      <c r="AS15" s="146"/>
      <c r="AT15" s="146"/>
      <c r="AU15" s="146"/>
      <c r="AV15" s="146"/>
      <c r="AW15" s="146"/>
      <c r="AX15" s="146"/>
      <c r="AY15" s="118"/>
      <c r="AZ15" s="148"/>
      <c r="BA15" s="146"/>
      <c r="BB15" s="146"/>
      <c r="BC15" s="146"/>
      <c r="BD15" s="146"/>
      <c r="BE15" s="146"/>
      <c r="BF15" s="146"/>
      <c r="BG15" s="146"/>
      <c r="BH15" s="146"/>
      <c r="BI15" s="118"/>
      <c r="BJ15" s="146"/>
      <c r="BK15" s="146"/>
      <c r="BL15" s="146"/>
      <c r="BM15" s="146"/>
      <c r="BN15" s="146"/>
      <c r="BO15" s="146"/>
      <c r="BP15" s="146"/>
      <c r="BQ15" s="146"/>
      <c r="BR15" s="146"/>
      <c r="BS15" s="118"/>
      <c r="BT15" s="165"/>
      <c r="BU15" s="151"/>
      <c r="BV15" s="69">
        <f>SUM(BT16:BT16)</f>
        <v>3</v>
      </c>
      <c r="BW15" s="66"/>
      <c r="BX15" s="85"/>
      <c r="BY15" s="85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</row>
    <row r="16" spans="2:131" s="24" customFormat="1" ht="40.5" customHeight="1" outlineLevel="1">
      <c r="B16" s="166" t="s">
        <v>252</v>
      </c>
      <c r="C16" s="153" t="s">
        <v>61</v>
      </c>
      <c r="D16" s="104">
        <v>1</v>
      </c>
      <c r="E16" s="105"/>
      <c r="F16" s="107">
        <f>SUM(L16,Q16,V16,AA16,AF16,AK16,AP16,AU16,AZ16,BE16,BJ16,BO16)</f>
        <v>108</v>
      </c>
      <c r="G16" s="154">
        <f>SUM(H16:K16)</f>
        <v>58</v>
      </c>
      <c r="H16" s="107">
        <f>SUM(N16,S16,X16,AC16,AH16,AM16,AR16,AW16,BB16,BG16,BL16,BQ16)</f>
        <v>10</v>
      </c>
      <c r="I16" s="109">
        <f>SUM(O16,T16,Y16,AD16,AI16,AN16,AS16,AX16,BC16,BH16,BM16,BR16)</f>
        <v>48</v>
      </c>
      <c r="J16" s="109"/>
      <c r="K16" s="110"/>
      <c r="L16" s="109">
        <v>108</v>
      </c>
      <c r="M16" s="109">
        <f aca="true" t="shared" si="2" ref="M16:M25">SUM(N16:O16)</f>
        <v>58</v>
      </c>
      <c r="N16" s="109">
        <v>10</v>
      </c>
      <c r="O16" s="109">
        <v>48</v>
      </c>
      <c r="P16" s="109">
        <v>3</v>
      </c>
      <c r="Q16" s="112"/>
      <c r="R16" s="109">
        <f aca="true" t="shared" si="3" ref="R16:R25">SUM(S16:T16)</f>
        <v>0</v>
      </c>
      <c r="S16" s="111"/>
      <c r="T16" s="111"/>
      <c r="U16" s="162"/>
      <c r="V16" s="112"/>
      <c r="W16" s="109">
        <f>SUM(X16:Y16)</f>
        <v>0</v>
      </c>
      <c r="X16" s="111"/>
      <c r="Y16" s="111"/>
      <c r="Z16" s="109"/>
      <c r="AA16" s="109"/>
      <c r="AB16" s="109"/>
      <c r="AC16" s="111"/>
      <c r="AD16" s="111"/>
      <c r="AE16" s="110"/>
      <c r="AF16" s="112"/>
      <c r="AG16" s="109"/>
      <c r="AH16" s="111"/>
      <c r="AI16" s="111"/>
      <c r="AJ16" s="109"/>
      <c r="AK16" s="109"/>
      <c r="AL16" s="109"/>
      <c r="AM16" s="111"/>
      <c r="AN16" s="111"/>
      <c r="AO16" s="100"/>
      <c r="AP16" s="107"/>
      <c r="AQ16" s="109"/>
      <c r="AR16" s="111"/>
      <c r="AS16" s="111"/>
      <c r="AT16" s="109"/>
      <c r="AU16" s="109"/>
      <c r="AV16" s="99"/>
      <c r="AW16" s="111"/>
      <c r="AX16" s="111"/>
      <c r="AY16" s="110"/>
      <c r="AZ16" s="112"/>
      <c r="BA16" s="109"/>
      <c r="BB16" s="111"/>
      <c r="BC16" s="111"/>
      <c r="BD16" s="109"/>
      <c r="BE16" s="109"/>
      <c r="BF16" s="109"/>
      <c r="BG16" s="111"/>
      <c r="BH16" s="111"/>
      <c r="BI16" s="110"/>
      <c r="BJ16" s="107"/>
      <c r="BK16" s="109"/>
      <c r="BL16" s="111"/>
      <c r="BM16" s="111"/>
      <c r="BN16" s="109"/>
      <c r="BO16" s="109"/>
      <c r="BP16" s="109"/>
      <c r="BQ16" s="111"/>
      <c r="BR16" s="111"/>
      <c r="BS16" s="110"/>
      <c r="BT16" s="167">
        <f t="shared" si="1"/>
        <v>3</v>
      </c>
      <c r="BU16" s="156" t="s">
        <v>311</v>
      </c>
      <c r="BV16" s="70"/>
      <c r="BW16" s="70"/>
      <c r="BX16" s="85"/>
      <c r="BY16" s="85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</row>
    <row r="17" spans="2:131" ht="39" outlineLevel="1">
      <c r="B17" s="163" t="s">
        <v>151</v>
      </c>
      <c r="C17" s="145" t="s">
        <v>152</v>
      </c>
      <c r="D17" s="113"/>
      <c r="E17" s="114"/>
      <c r="F17" s="168"/>
      <c r="G17" s="164"/>
      <c r="H17" s="168"/>
      <c r="I17" s="146"/>
      <c r="J17" s="146"/>
      <c r="K17" s="147"/>
      <c r="L17" s="168"/>
      <c r="M17" s="117"/>
      <c r="N17" s="146"/>
      <c r="O17" s="146"/>
      <c r="P17" s="117"/>
      <c r="Q17" s="117"/>
      <c r="R17" s="117"/>
      <c r="S17" s="146"/>
      <c r="T17" s="146"/>
      <c r="U17" s="118"/>
      <c r="V17" s="148"/>
      <c r="W17" s="117"/>
      <c r="X17" s="146"/>
      <c r="Y17" s="146"/>
      <c r="Z17" s="146"/>
      <c r="AA17" s="146"/>
      <c r="AB17" s="146"/>
      <c r="AC17" s="146"/>
      <c r="AD17" s="146"/>
      <c r="AE17" s="118"/>
      <c r="AF17" s="148"/>
      <c r="AG17" s="146"/>
      <c r="AH17" s="146"/>
      <c r="AI17" s="146"/>
      <c r="AJ17" s="146"/>
      <c r="AK17" s="146"/>
      <c r="AL17" s="146"/>
      <c r="AM17" s="146"/>
      <c r="AN17" s="146"/>
      <c r="AO17" s="147"/>
      <c r="AP17" s="168"/>
      <c r="AQ17" s="146"/>
      <c r="AR17" s="146"/>
      <c r="AS17" s="146"/>
      <c r="AT17" s="146"/>
      <c r="AU17" s="146"/>
      <c r="AV17" s="146"/>
      <c r="AW17" s="146"/>
      <c r="AX17" s="146"/>
      <c r="AY17" s="147"/>
      <c r="AZ17" s="148"/>
      <c r="BA17" s="146"/>
      <c r="BB17" s="146"/>
      <c r="BC17" s="146"/>
      <c r="BD17" s="146"/>
      <c r="BE17" s="146"/>
      <c r="BF17" s="146"/>
      <c r="BG17" s="146"/>
      <c r="BH17" s="146"/>
      <c r="BI17" s="118"/>
      <c r="BJ17" s="168"/>
      <c r="BK17" s="146"/>
      <c r="BL17" s="146"/>
      <c r="BM17" s="146"/>
      <c r="BN17" s="146"/>
      <c r="BO17" s="146"/>
      <c r="BP17" s="146"/>
      <c r="BQ17" s="146"/>
      <c r="BR17" s="146"/>
      <c r="BS17" s="118"/>
      <c r="BT17" s="121"/>
      <c r="BU17" s="169"/>
      <c r="BV17" s="69">
        <f>SUM(BT18:BT19)</f>
        <v>12</v>
      </c>
      <c r="BW17" s="66"/>
      <c r="BX17" s="85"/>
      <c r="BY17" s="85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</row>
    <row r="18" spans="2:131" ht="20.25" outlineLevel="1">
      <c r="B18" s="170" t="s">
        <v>153</v>
      </c>
      <c r="C18" s="153" t="s">
        <v>65</v>
      </c>
      <c r="D18" s="104"/>
      <c r="E18" s="105" t="s">
        <v>143</v>
      </c>
      <c r="F18" s="107">
        <f>SUM(L18,Q18,V18,AA18,AF18,AK18,AP18,AU18,AZ18,BE18,BJ18,BO18)</f>
        <v>228</v>
      </c>
      <c r="G18" s="154">
        <f>SUM(H18:K18)</f>
        <v>150</v>
      </c>
      <c r="H18" s="107">
        <f>SUM(N18,S18,X18,AC18,AH18,AM18,AR18,AW18,BB18,BG18,BL18,BQ18)</f>
        <v>0</v>
      </c>
      <c r="I18" s="109"/>
      <c r="J18" s="109">
        <f>SUM(O18,T18,Y18,AD18,AI18,AN18,AS18,AX18,BC18,BH18,BM18,BR18)</f>
        <v>150</v>
      </c>
      <c r="K18" s="110"/>
      <c r="L18" s="107">
        <v>114</v>
      </c>
      <c r="M18" s="109">
        <f t="shared" si="2"/>
        <v>76</v>
      </c>
      <c r="N18" s="111"/>
      <c r="O18" s="111">
        <v>76</v>
      </c>
      <c r="P18" s="109">
        <v>3</v>
      </c>
      <c r="Q18" s="112">
        <v>114</v>
      </c>
      <c r="R18" s="109">
        <f t="shared" si="3"/>
        <v>74</v>
      </c>
      <c r="S18" s="111"/>
      <c r="T18" s="111">
        <v>74</v>
      </c>
      <c r="U18" s="110">
        <v>3</v>
      </c>
      <c r="V18" s="112"/>
      <c r="W18" s="109">
        <f>SUM(X18:Y18)</f>
        <v>0</v>
      </c>
      <c r="X18" s="111"/>
      <c r="Y18" s="111"/>
      <c r="Z18" s="109"/>
      <c r="AA18" s="112"/>
      <c r="AB18" s="109"/>
      <c r="AC18" s="111"/>
      <c r="AD18" s="111"/>
      <c r="AE18" s="110"/>
      <c r="AF18" s="112"/>
      <c r="AG18" s="109"/>
      <c r="AH18" s="111"/>
      <c r="AI18" s="111"/>
      <c r="AJ18" s="109"/>
      <c r="AK18" s="109"/>
      <c r="AL18" s="109"/>
      <c r="AM18" s="111"/>
      <c r="AN18" s="111"/>
      <c r="AO18" s="100"/>
      <c r="AP18" s="107"/>
      <c r="AQ18" s="109"/>
      <c r="AR18" s="111"/>
      <c r="AS18" s="111"/>
      <c r="AT18" s="109"/>
      <c r="AU18" s="109"/>
      <c r="AV18" s="99"/>
      <c r="AW18" s="111"/>
      <c r="AX18" s="111"/>
      <c r="AY18" s="110"/>
      <c r="AZ18" s="112"/>
      <c r="BA18" s="109"/>
      <c r="BB18" s="111"/>
      <c r="BC18" s="111"/>
      <c r="BD18" s="109"/>
      <c r="BE18" s="109"/>
      <c r="BF18" s="109"/>
      <c r="BG18" s="111"/>
      <c r="BH18" s="111"/>
      <c r="BI18" s="109"/>
      <c r="BJ18" s="107"/>
      <c r="BK18" s="109"/>
      <c r="BL18" s="111"/>
      <c r="BM18" s="111"/>
      <c r="BN18" s="109"/>
      <c r="BO18" s="109"/>
      <c r="BP18" s="109"/>
      <c r="BQ18" s="111"/>
      <c r="BR18" s="111"/>
      <c r="BS18" s="110"/>
      <c r="BT18" s="167">
        <f t="shared" si="1"/>
        <v>6</v>
      </c>
      <c r="BU18" s="156" t="s">
        <v>309</v>
      </c>
      <c r="BV18" s="66"/>
      <c r="BW18" s="66"/>
      <c r="BX18" s="85"/>
      <c r="BY18" s="85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</row>
    <row r="19" spans="2:131" ht="20.25" outlineLevel="1">
      <c r="B19" s="170" t="s">
        <v>191</v>
      </c>
      <c r="C19" s="153" t="s">
        <v>64</v>
      </c>
      <c r="D19" s="171"/>
      <c r="E19" s="105" t="s">
        <v>143</v>
      </c>
      <c r="F19" s="107">
        <f>SUM(L19,Q19,V19,AA19,AF19,AK19,AP19,AU19,AZ19,BE19,BJ19,BO19)</f>
        <v>180</v>
      </c>
      <c r="G19" s="154">
        <f>SUM(H19:K19)</f>
        <v>76</v>
      </c>
      <c r="H19" s="172">
        <f>SUM(N19,S19,X19,AC19,AH19,AM19,AR19,AW19,BB19,BG19,BL19,BQ19)</f>
        <v>0</v>
      </c>
      <c r="I19" s="173"/>
      <c r="J19" s="174">
        <f>SUM(O19,T19,Y19,AD19,AI19,AN19,AS19,AX19,BC19,BH19,BM19,BR19)</f>
        <v>76</v>
      </c>
      <c r="K19" s="175"/>
      <c r="L19" s="107">
        <v>90</v>
      </c>
      <c r="M19" s="109">
        <f t="shared" si="2"/>
        <v>40</v>
      </c>
      <c r="N19" s="176"/>
      <c r="O19" s="176">
        <v>40</v>
      </c>
      <c r="P19" s="109">
        <v>3</v>
      </c>
      <c r="Q19" s="112">
        <v>90</v>
      </c>
      <c r="R19" s="109">
        <f t="shared" si="3"/>
        <v>36</v>
      </c>
      <c r="S19" s="176"/>
      <c r="T19" s="176">
        <v>36</v>
      </c>
      <c r="U19" s="110">
        <v>3</v>
      </c>
      <c r="V19" s="177"/>
      <c r="W19" s="109">
        <f>SUM(X19:Y19)</f>
        <v>0</v>
      </c>
      <c r="X19" s="176"/>
      <c r="Y19" s="176"/>
      <c r="Z19" s="109">
        <f>V19/36</f>
        <v>0</v>
      </c>
      <c r="AA19" s="174"/>
      <c r="AB19" s="174"/>
      <c r="AC19" s="176"/>
      <c r="AD19" s="176"/>
      <c r="AE19" s="110"/>
      <c r="AF19" s="177"/>
      <c r="AG19" s="174"/>
      <c r="AH19" s="176"/>
      <c r="AI19" s="176"/>
      <c r="AJ19" s="109"/>
      <c r="AK19" s="174"/>
      <c r="AL19" s="174"/>
      <c r="AM19" s="176"/>
      <c r="AN19" s="176"/>
      <c r="AO19" s="100"/>
      <c r="AP19" s="172"/>
      <c r="AQ19" s="174"/>
      <c r="AR19" s="176"/>
      <c r="AS19" s="176"/>
      <c r="AT19" s="109"/>
      <c r="AU19" s="174"/>
      <c r="AV19" s="99"/>
      <c r="AW19" s="176"/>
      <c r="AX19" s="176"/>
      <c r="AY19" s="110"/>
      <c r="AZ19" s="177"/>
      <c r="BA19" s="174"/>
      <c r="BB19" s="176"/>
      <c r="BC19" s="176"/>
      <c r="BD19" s="109"/>
      <c r="BE19" s="174"/>
      <c r="BF19" s="174"/>
      <c r="BG19" s="176"/>
      <c r="BH19" s="176"/>
      <c r="BI19" s="109"/>
      <c r="BJ19" s="172"/>
      <c r="BK19" s="174"/>
      <c r="BL19" s="176"/>
      <c r="BM19" s="176"/>
      <c r="BN19" s="109"/>
      <c r="BO19" s="174"/>
      <c r="BP19" s="174"/>
      <c r="BQ19" s="176"/>
      <c r="BR19" s="176"/>
      <c r="BS19" s="110"/>
      <c r="BT19" s="167">
        <f t="shared" si="1"/>
        <v>6</v>
      </c>
      <c r="BU19" s="156" t="s">
        <v>351</v>
      </c>
      <c r="BV19" s="66"/>
      <c r="BW19" s="66"/>
      <c r="BX19" s="85"/>
      <c r="BY19" s="85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</row>
    <row r="20" spans="2:131" ht="39" outlineLevel="1">
      <c r="B20" s="178" t="s">
        <v>154</v>
      </c>
      <c r="C20" s="179" t="s">
        <v>193</v>
      </c>
      <c r="D20" s="180"/>
      <c r="E20" s="181"/>
      <c r="F20" s="182"/>
      <c r="G20" s="164"/>
      <c r="H20" s="182"/>
      <c r="I20" s="183"/>
      <c r="J20" s="183"/>
      <c r="K20" s="184"/>
      <c r="L20" s="182"/>
      <c r="M20" s="117"/>
      <c r="N20" s="185"/>
      <c r="O20" s="185"/>
      <c r="P20" s="183"/>
      <c r="Q20" s="186"/>
      <c r="R20" s="117"/>
      <c r="S20" s="185"/>
      <c r="T20" s="185"/>
      <c r="U20" s="184"/>
      <c r="V20" s="186"/>
      <c r="W20" s="117"/>
      <c r="X20" s="185"/>
      <c r="Y20" s="185"/>
      <c r="Z20" s="183"/>
      <c r="AA20" s="186"/>
      <c r="AB20" s="183"/>
      <c r="AC20" s="185"/>
      <c r="AD20" s="185"/>
      <c r="AE20" s="118"/>
      <c r="AF20" s="186"/>
      <c r="AG20" s="183"/>
      <c r="AH20" s="185"/>
      <c r="AI20" s="185"/>
      <c r="AJ20" s="183"/>
      <c r="AK20" s="183"/>
      <c r="AL20" s="183"/>
      <c r="AM20" s="185"/>
      <c r="AN20" s="185"/>
      <c r="AO20" s="147"/>
      <c r="AP20" s="182"/>
      <c r="AQ20" s="183"/>
      <c r="AR20" s="185"/>
      <c r="AS20" s="185"/>
      <c r="AT20" s="183"/>
      <c r="AU20" s="183"/>
      <c r="AV20" s="146"/>
      <c r="AW20" s="185"/>
      <c r="AX20" s="185"/>
      <c r="AY20" s="184"/>
      <c r="AZ20" s="186"/>
      <c r="BA20" s="183"/>
      <c r="BB20" s="185"/>
      <c r="BC20" s="185"/>
      <c r="BD20" s="183"/>
      <c r="BE20" s="183"/>
      <c r="BF20" s="183"/>
      <c r="BG20" s="185"/>
      <c r="BH20" s="185"/>
      <c r="BI20" s="117"/>
      <c r="BJ20" s="182"/>
      <c r="BK20" s="183"/>
      <c r="BL20" s="185"/>
      <c r="BM20" s="185"/>
      <c r="BN20" s="183"/>
      <c r="BO20" s="183"/>
      <c r="BP20" s="183"/>
      <c r="BQ20" s="185"/>
      <c r="BR20" s="185"/>
      <c r="BS20" s="184"/>
      <c r="BT20" s="121"/>
      <c r="BU20" s="187"/>
      <c r="BV20" s="69">
        <f>SUM(BT21:BT22)</f>
        <v>15</v>
      </c>
      <c r="BW20" s="66"/>
      <c r="BX20" s="85"/>
      <c r="BY20" s="85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</row>
    <row r="21" spans="2:131" s="24" customFormat="1" ht="20.25" outlineLevel="1">
      <c r="B21" s="170" t="s">
        <v>155</v>
      </c>
      <c r="C21" s="153" t="s">
        <v>66</v>
      </c>
      <c r="D21" s="104">
        <v>3</v>
      </c>
      <c r="E21" s="105" t="s">
        <v>68</v>
      </c>
      <c r="F21" s="107">
        <f>SUM(L21,Q21,V21,AA21,AF21,AK21,AP21,AU21,AZ21,BE21,BJ21,BO21)</f>
        <v>363</v>
      </c>
      <c r="G21" s="154">
        <f>SUM(H21:K21)</f>
        <v>219</v>
      </c>
      <c r="H21" s="107">
        <f>SUM(N21,S21,X21,AC21,AH21,AM21,AR21,AW21,BB21,BG21,BL21,BQ21)</f>
        <v>36</v>
      </c>
      <c r="I21" s="109">
        <f>SUM(O21,T21,Y21,AD21,AI21,AN21,AS21,AX21,BC21,BH21,BM21,BR21)-J21</f>
        <v>183</v>
      </c>
      <c r="J21" s="112"/>
      <c r="K21" s="110"/>
      <c r="L21" s="107">
        <v>120</v>
      </c>
      <c r="M21" s="109">
        <f t="shared" si="2"/>
        <v>67</v>
      </c>
      <c r="N21" s="111">
        <v>10</v>
      </c>
      <c r="O21" s="111">
        <v>57</v>
      </c>
      <c r="P21" s="109">
        <v>3</v>
      </c>
      <c r="Q21" s="112">
        <v>123</v>
      </c>
      <c r="R21" s="109">
        <f t="shared" si="3"/>
        <v>82</v>
      </c>
      <c r="S21" s="111">
        <v>10</v>
      </c>
      <c r="T21" s="111">
        <v>72</v>
      </c>
      <c r="U21" s="110">
        <v>3</v>
      </c>
      <c r="V21" s="112">
        <v>120</v>
      </c>
      <c r="W21" s="109">
        <f>SUM(X21:Y21)</f>
        <v>70</v>
      </c>
      <c r="X21" s="111">
        <v>16</v>
      </c>
      <c r="Y21" s="111">
        <v>54</v>
      </c>
      <c r="Z21" s="109">
        <v>3</v>
      </c>
      <c r="AA21" s="109"/>
      <c r="AB21" s="109"/>
      <c r="AC21" s="111"/>
      <c r="AD21" s="111"/>
      <c r="AE21" s="110"/>
      <c r="AF21" s="112"/>
      <c r="AG21" s="109"/>
      <c r="AH21" s="111"/>
      <c r="AI21" s="111"/>
      <c r="AJ21" s="109"/>
      <c r="AK21" s="109"/>
      <c r="AL21" s="109"/>
      <c r="AM21" s="111"/>
      <c r="AN21" s="111"/>
      <c r="AO21" s="108"/>
      <c r="AP21" s="107"/>
      <c r="AQ21" s="109"/>
      <c r="AR21" s="111"/>
      <c r="AS21" s="111"/>
      <c r="AT21" s="109"/>
      <c r="AU21" s="109"/>
      <c r="AV21" s="99"/>
      <c r="AW21" s="111"/>
      <c r="AX21" s="111"/>
      <c r="AY21" s="110"/>
      <c r="AZ21" s="112"/>
      <c r="BA21" s="109"/>
      <c r="BB21" s="111"/>
      <c r="BC21" s="111"/>
      <c r="BD21" s="109"/>
      <c r="BE21" s="109"/>
      <c r="BF21" s="109"/>
      <c r="BG21" s="111"/>
      <c r="BH21" s="111"/>
      <c r="BI21" s="109"/>
      <c r="BJ21" s="107"/>
      <c r="BK21" s="109"/>
      <c r="BL21" s="111"/>
      <c r="BM21" s="111"/>
      <c r="BN21" s="109"/>
      <c r="BO21" s="109"/>
      <c r="BP21" s="109"/>
      <c r="BQ21" s="111"/>
      <c r="BR21" s="111"/>
      <c r="BS21" s="110"/>
      <c r="BT21" s="167">
        <f t="shared" si="1"/>
        <v>9</v>
      </c>
      <c r="BU21" s="156" t="s">
        <v>312</v>
      </c>
      <c r="BV21" s="70"/>
      <c r="BW21" s="70"/>
      <c r="BX21" s="85"/>
      <c r="BY21" s="85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</row>
    <row r="22" spans="2:131" ht="70.5" customHeight="1" outlineLevel="1">
      <c r="B22" s="170" t="s">
        <v>159</v>
      </c>
      <c r="C22" s="153" t="s">
        <v>67</v>
      </c>
      <c r="D22" s="104">
        <v>3</v>
      </c>
      <c r="E22" s="105">
        <v>2</v>
      </c>
      <c r="F22" s="107">
        <f>SUM(L22,Q22,V22,AA22,AF22,AK22,AP22,AU22,AZ22,BE22,BJ22,BO22)</f>
        <v>240</v>
      </c>
      <c r="G22" s="154">
        <f>SUM(H22:K22)</f>
        <v>122</v>
      </c>
      <c r="H22" s="107">
        <f>SUM(N22,S22,X22,AC22,AH22,AM22,AR22,AW22,BB22,BG22,BL22,BQ22)</f>
        <v>32</v>
      </c>
      <c r="I22" s="109">
        <f>SUM(O22,T22,Y22,AD22,AI22,AN22,AS22,AX22,BC22,BH22,BM22,BR22)-J22</f>
        <v>90</v>
      </c>
      <c r="J22" s="112"/>
      <c r="K22" s="110"/>
      <c r="L22" s="107">
        <f>M22*1.45</f>
        <v>0</v>
      </c>
      <c r="M22" s="109">
        <f t="shared" si="2"/>
        <v>0</v>
      </c>
      <c r="N22" s="111"/>
      <c r="O22" s="111"/>
      <c r="P22" s="109">
        <f>L22/36</f>
        <v>0</v>
      </c>
      <c r="Q22" s="112">
        <v>120</v>
      </c>
      <c r="R22" s="109">
        <f t="shared" si="3"/>
        <v>61</v>
      </c>
      <c r="S22" s="111">
        <v>16</v>
      </c>
      <c r="T22" s="111">
        <v>45</v>
      </c>
      <c r="U22" s="110">
        <v>3</v>
      </c>
      <c r="V22" s="112">
        <v>120</v>
      </c>
      <c r="W22" s="109">
        <f>SUM(X22:Y22)</f>
        <v>61</v>
      </c>
      <c r="X22" s="111">
        <v>16</v>
      </c>
      <c r="Y22" s="111">
        <v>45</v>
      </c>
      <c r="Z22" s="109">
        <v>3</v>
      </c>
      <c r="AA22" s="109"/>
      <c r="AB22" s="109">
        <f>SUM(AC22:AD22)</f>
        <v>0</v>
      </c>
      <c r="AC22" s="111"/>
      <c r="AD22" s="111"/>
      <c r="AE22" s="110"/>
      <c r="AF22" s="112"/>
      <c r="AG22" s="109"/>
      <c r="AH22" s="111"/>
      <c r="AI22" s="111"/>
      <c r="AJ22" s="109"/>
      <c r="AK22" s="109"/>
      <c r="AL22" s="109"/>
      <c r="AM22" s="111"/>
      <c r="AN22" s="111"/>
      <c r="AO22" s="108"/>
      <c r="AP22" s="107"/>
      <c r="AQ22" s="109"/>
      <c r="AR22" s="111"/>
      <c r="AS22" s="111"/>
      <c r="AT22" s="109"/>
      <c r="AU22" s="109"/>
      <c r="AV22" s="99"/>
      <c r="AW22" s="111"/>
      <c r="AX22" s="111"/>
      <c r="AY22" s="110"/>
      <c r="AZ22" s="112"/>
      <c r="BA22" s="109"/>
      <c r="BB22" s="111"/>
      <c r="BC22" s="111"/>
      <c r="BD22" s="109"/>
      <c r="BE22" s="109"/>
      <c r="BF22" s="109"/>
      <c r="BG22" s="111"/>
      <c r="BH22" s="111"/>
      <c r="BI22" s="108"/>
      <c r="BJ22" s="107"/>
      <c r="BK22" s="109"/>
      <c r="BL22" s="111"/>
      <c r="BM22" s="111"/>
      <c r="BN22" s="109"/>
      <c r="BO22" s="109"/>
      <c r="BP22" s="109"/>
      <c r="BQ22" s="111"/>
      <c r="BR22" s="111"/>
      <c r="BS22" s="110"/>
      <c r="BT22" s="167">
        <f t="shared" si="1"/>
        <v>6</v>
      </c>
      <c r="BU22" s="156" t="s">
        <v>313</v>
      </c>
      <c r="BV22" s="66"/>
      <c r="BW22" s="66"/>
      <c r="BX22" s="85"/>
      <c r="BY22" s="85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</row>
    <row r="23" spans="2:131" ht="20.25" outlineLevel="1">
      <c r="B23" s="188" t="s">
        <v>157</v>
      </c>
      <c r="C23" s="145" t="s">
        <v>197</v>
      </c>
      <c r="D23" s="189"/>
      <c r="E23" s="190"/>
      <c r="F23" s="191"/>
      <c r="G23" s="147"/>
      <c r="H23" s="191"/>
      <c r="I23" s="192"/>
      <c r="J23" s="192"/>
      <c r="K23" s="147"/>
      <c r="L23" s="191"/>
      <c r="M23" s="117"/>
      <c r="N23" s="192"/>
      <c r="O23" s="192"/>
      <c r="P23" s="117"/>
      <c r="Q23" s="193"/>
      <c r="R23" s="117"/>
      <c r="S23" s="192"/>
      <c r="T23" s="192"/>
      <c r="U23" s="147"/>
      <c r="V23" s="194"/>
      <c r="W23" s="117"/>
      <c r="X23" s="192"/>
      <c r="Y23" s="192"/>
      <c r="Z23" s="146"/>
      <c r="AA23" s="192"/>
      <c r="AB23" s="183"/>
      <c r="AC23" s="192"/>
      <c r="AD23" s="192"/>
      <c r="AE23" s="147"/>
      <c r="AF23" s="194"/>
      <c r="AG23" s="117"/>
      <c r="AH23" s="192"/>
      <c r="AI23" s="192"/>
      <c r="AJ23" s="146"/>
      <c r="AK23" s="192"/>
      <c r="AL23" s="117"/>
      <c r="AM23" s="192"/>
      <c r="AN23" s="192"/>
      <c r="AO23" s="147"/>
      <c r="AP23" s="191"/>
      <c r="AQ23" s="192"/>
      <c r="AR23" s="192"/>
      <c r="AS23" s="192"/>
      <c r="AT23" s="146"/>
      <c r="AU23" s="192"/>
      <c r="AV23" s="146"/>
      <c r="AW23" s="192"/>
      <c r="AX23" s="192"/>
      <c r="AY23" s="147"/>
      <c r="AZ23" s="194"/>
      <c r="BA23" s="192"/>
      <c r="BB23" s="192"/>
      <c r="BC23" s="192"/>
      <c r="BD23" s="146"/>
      <c r="BE23" s="192"/>
      <c r="BF23" s="192"/>
      <c r="BG23" s="192"/>
      <c r="BH23" s="192"/>
      <c r="BI23" s="147"/>
      <c r="BJ23" s="191"/>
      <c r="BK23" s="192"/>
      <c r="BL23" s="192"/>
      <c r="BM23" s="192"/>
      <c r="BN23" s="146"/>
      <c r="BO23" s="192"/>
      <c r="BP23" s="192"/>
      <c r="BQ23" s="192"/>
      <c r="BR23" s="192"/>
      <c r="BS23" s="147"/>
      <c r="BT23" s="121"/>
      <c r="BU23" s="169"/>
      <c r="BV23" s="66"/>
      <c r="BW23" s="66"/>
      <c r="BX23" s="85"/>
      <c r="BY23" s="85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</row>
    <row r="24" spans="2:131" ht="20.25" outlineLevel="1">
      <c r="B24" s="170" t="s">
        <v>162</v>
      </c>
      <c r="C24" s="153" t="s">
        <v>339</v>
      </c>
      <c r="D24" s="171"/>
      <c r="E24" s="195">
        <v>1</v>
      </c>
      <c r="F24" s="107">
        <f>SUM(L24,Q24,V24,AA24,AF24,AK24,AP24,AU24,AZ24,BE24,BJ24,BO24)</f>
        <v>108</v>
      </c>
      <c r="G24" s="196">
        <f>SUM(H24:K24)</f>
        <v>50</v>
      </c>
      <c r="H24" s="172">
        <f>SUM(N24,S24,X24,AC24,AH24,AM24,AR24,AW24,BB24,BG24,BL24,BQ24)</f>
        <v>10</v>
      </c>
      <c r="I24" s="174">
        <f>SUM(O24,T24,Y24,AD24,AI24,AN24,AS24,AX24,BC24,BH24,BM24,BR24)</f>
        <v>40</v>
      </c>
      <c r="J24" s="174"/>
      <c r="K24" s="175"/>
      <c r="L24" s="172">
        <v>108</v>
      </c>
      <c r="M24" s="109">
        <f t="shared" si="2"/>
        <v>50</v>
      </c>
      <c r="N24" s="176">
        <v>10</v>
      </c>
      <c r="O24" s="176">
        <v>40</v>
      </c>
      <c r="P24" s="109">
        <v>3</v>
      </c>
      <c r="Q24" s="174"/>
      <c r="R24" s="109">
        <f t="shared" si="3"/>
        <v>0</v>
      </c>
      <c r="S24" s="174"/>
      <c r="T24" s="174"/>
      <c r="U24" s="110"/>
      <c r="V24" s="177"/>
      <c r="W24" s="109">
        <f>SUM(X24:Y24)</f>
        <v>0</v>
      </c>
      <c r="X24" s="176"/>
      <c r="Y24" s="176"/>
      <c r="Z24" s="109"/>
      <c r="AA24" s="174"/>
      <c r="AB24" s="197">
        <f>SUM(AC24:AD24)</f>
        <v>0</v>
      </c>
      <c r="AC24" s="176"/>
      <c r="AD24" s="176"/>
      <c r="AE24" s="110"/>
      <c r="AF24" s="177"/>
      <c r="AG24" s="109">
        <f>SUM(AH24:AI24)</f>
        <v>0</v>
      </c>
      <c r="AH24" s="176"/>
      <c r="AI24" s="176"/>
      <c r="AJ24" s="109"/>
      <c r="AK24" s="174"/>
      <c r="AL24" s="109">
        <f>SUM(AM24:AN24)</f>
        <v>0</v>
      </c>
      <c r="AM24" s="176"/>
      <c r="AN24" s="176"/>
      <c r="AO24" s="108"/>
      <c r="AP24" s="172"/>
      <c r="AQ24" s="174"/>
      <c r="AR24" s="176"/>
      <c r="AS24" s="176"/>
      <c r="AT24" s="109"/>
      <c r="AU24" s="174"/>
      <c r="AV24" s="99"/>
      <c r="AW24" s="176"/>
      <c r="AX24" s="176"/>
      <c r="AY24" s="110"/>
      <c r="AZ24" s="177"/>
      <c r="BA24" s="174"/>
      <c r="BB24" s="176"/>
      <c r="BC24" s="176"/>
      <c r="BD24" s="109"/>
      <c r="BE24" s="174"/>
      <c r="BF24" s="174"/>
      <c r="BG24" s="176"/>
      <c r="BH24" s="176"/>
      <c r="BI24" s="108"/>
      <c r="BJ24" s="172"/>
      <c r="BK24" s="174"/>
      <c r="BL24" s="176"/>
      <c r="BM24" s="176"/>
      <c r="BN24" s="109"/>
      <c r="BO24" s="174"/>
      <c r="BP24" s="174"/>
      <c r="BQ24" s="176"/>
      <c r="BR24" s="176"/>
      <c r="BS24" s="110"/>
      <c r="BT24" s="167">
        <f t="shared" si="1"/>
        <v>3</v>
      </c>
      <c r="BU24" s="198" t="s">
        <v>314</v>
      </c>
      <c r="BV24" s="66"/>
      <c r="BW24" s="66"/>
      <c r="BX24" s="85"/>
      <c r="BY24" s="85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</row>
    <row r="25" spans="2:131" ht="46.5" customHeight="1" outlineLevel="1">
      <c r="B25" s="170" t="s">
        <v>163</v>
      </c>
      <c r="C25" s="153" t="s">
        <v>62</v>
      </c>
      <c r="D25" s="171">
        <v>2</v>
      </c>
      <c r="E25" s="195"/>
      <c r="F25" s="107">
        <f>SUM(L25,Q25,V25,AA25,AF25,AK25,AP25,AU25,AZ25,BE25,BJ25,BO25)</f>
        <v>108</v>
      </c>
      <c r="G25" s="196">
        <f>SUM(H25:K25)</f>
        <v>46</v>
      </c>
      <c r="H25" s="172">
        <f>SUM(N25,S25,X25,AC25,AH25,AM25,AR25,AW25,BB25,BG25,BL25,BQ25)</f>
        <v>10</v>
      </c>
      <c r="I25" s="174">
        <f>SUM(O25,T25,Y25,AD25,AI25,AN25,AS25,AX25,BC25,BH25,BM25,BR25)</f>
        <v>36</v>
      </c>
      <c r="J25" s="174"/>
      <c r="K25" s="175"/>
      <c r="L25" s="172"/>
      <c r="M25" s="109">
        <f t="shared" si="2"/>
        <v>0</v>
      </c>
      <c r="N25" s="176"/>
      <c r="O25" s="176"/>
      <c r="P25" s="109">
        <f>L25/36</f>
        <v>0</v>
      </c>
      <c r="Q25" s="174">
        <v>108</v>
      </c>
      <c r="R25" s="109">
        <f t="shared" si="3"/>
        <v>46</v>
      </c>
      <c r="S25" s="174">
        <v>10</v>
      </c>
      <c r="T25" s="174">
        <v>36</v>
      </c>
      <c r="U25" s="110">
        <v>3</v>
      </c>
      <c r="V25" s="177"/>
      <c r="W25" s="109">
        <f>SUM(X25:Y25)</f>
        <v>0</v>
      </c>
      <c r="X25" s="176"/>
      <c r="Y25" s="176"/>
      <c r="Z25" s="109"/>
      <c r="AA25" s="174"/>
      <c r="AB25" s="197">
        <f>SUM(AC25:AD25)</f>
        <v>0</v>
      </c>
      <c r="AC25" s="176"/>
      <c r="AD25" s="176"/>
      <c r="AE25" s="110"/>
      <c r="AF25" s="177"/>
      <c r="AG25" s="109">
        <f>SUM(AH25:AI25)</f>
        <v>0</v>
      </c>
      <c r="AH25" s="176"/>
      <c r="AI25" s="176"/>
      <c r="AJ25" s="109"/>
      <c r="AK25" s="174"/>
      <c r="AL25" s="109">
        <f>SUM(AM25:AN25)</f>
        <v>0</v>
      </c>
      <c r="AM25" s="176"/>
      <c r="AN25" s="176"/>
      <c r="AO25" s="108"/>
      <c r="AP25" s="172"/>
      <c r="AQ25" s="174"/>
      <c r="AR25" s="176"/>
      <c r="AS25" s="176"/>
      <c r="AT25" s="109"/>
      <c r="AU25" s="174"/>
      <c r="AV25" s="99"/>
      <c r="AW25" s="176"/>
      <c r="AX25" s="176"/>
      <c r="AY25" s="110"/>
      <c r="AZ25" s="177"/>
      <c r="BA25" s="174"/>
      <c r="BB25" s="176"/>
      <c r="BC25" s="176"/>
      <c r="BD25" s="109"/>
      <c r="BE25" s="174"/>
      <c r="BF25" s="174"/>
      <c r="BG25" s="176"/>
      <c r="BH25" s="176"/>
      <c r="BI25" s="108"/>
      <c r="BJ25" s="172"/>
      <c r="BK25" s="174"/>
      <c r="BL25" s="176"/>
      <c r="BM25" s="176"/>
      <c r="BN25" s="109"/>
      <c r="BO25" s="174"/>
      <c r="BP25" s="174"/>
      <c r="BQ25" s="176"/>
      <c r="BR25" s="176"/>
      <c r="BS25" s="110"/>
      <c r="BT25" s="167">
        <f t="shared" si="1"/>
        <v>3</v>
      </c>
      <c r="BU25" s="199" t="s">
        <v>315</v>
      </c>
      <c r="BV25" s="66"/>
      <c r="BW25" s="66"/>
      <c r="BX25" s="85"/>
      <c r="BY25" s="85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</row>
    <row r="26" spans="2:131" ht="39" outlineLevel="1">
      <c r="B26" s="188" t="s">
        <v>158</v>
      </c>
      <c r="C26" s="200" t="s">
        <v>528</v>
      </c>
      <c r="D26" s="201"/>
      <c r="E26" s="190"/>
      <c r="F26" s="115"/>
      <c r="G26" s="202"/>
      <c r="H26" s="203"/>
      <c r="I26" s="193"/>
      <c r="J26" s="204"/>
      <c r="K26" s="205"/>
      <c r="L26" s="115"/>
      <c r="M26" s="117"/>
      <c r="N26" s="206"/>
      <c r="O26" s="206"/>
      <c r="P26" s="117"/>
      <c r="Q26" s="120"/>
      <c r="R26" s="117"/>
      <c r="S26" s="206"/>
      <c r="T26" s="206"/>
      <c r="U26" s="118"/>
      <c r="V26" s="120"/>
      <c r="W26" s="117"/>
      <c r="X26" s="119"/>
      <c r="Y26" s="119"/>
      <c r="Z26" s="117"/>
      <c r="AA26" s="193"/>
      <c r="AB26" s="183"/>
      <c r="AC26" s="206"/>
      <c r="AD26" s="206"/>
      <c r="AE26" s="118"/>
      <c r="AF26" s="204"/>
      <c r="AG26" s="117"/>
      <c r="AH26" s="206"/>
      <c r="AI26" s="206"/>
      <c r="AJ26" s="117"/>
      <c r="AK26" s="193"/>
      <c r="AL26" s="117"/>
      <c r="AM26" s="206"/>
      <c r="AN26" s="206"/>
      <c r="AO26" s="116"/>
      <c r="AP26" s="203"/>
      <c r="AQ26" s="193"/>
      <c r="AR26" s="206"/>
      <c r="AS26" s="206"/>
      <c r="AT26" s="117"/>
      <c r="AU26" s="193"/>
      <c r="AV26" s="146"/>
      <c r="AW26" s="206"/>
      <c r="AX26" s="206"/>
      <c r="AY26" s="118"/>
      <c r="AZ26" s="204"/>
      <c r="BA26" s="193"/>
      <c r="BB26" s="206"/>
      <c r="BC26" s="206"/>
      <c r="BD26" s="117"/>
      <c r="BE26" s="193"/>
      <c r="BF26" s="193"/>
      <c r="BG26" s="206"/>
      <c r="BH26" s="206"/>
      <c r="BI26" s="116"/>
      <c r="BJ26" s="203"/>
      <c r="BK26" s="193"/>
      <c r="BL26" s="206"/>
      <c r="BM26" s="206"/>
      <c r="BN26" s="117"/>
      <c r="BO26" s="193"/>
      <c r="BP26" s="193"/>
      <c r="BQ26" s="206"/>
      <c r="BR26" s="206"/>
      <c r="BS26" s="118"/>
      <c r="BT26" s="121"/>
      <c r="BU26" s="151"/>
      <c r="BV26" s="66"/>
      <c r="BW26" s="66"/>
      <c r="BX26" s="85"/>
      <c r="BY26" s="85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</row>
    <row r="27" spans="2:131" ht="40.5" outlineLevel="1">
      <c r="B27" s="170" t="s">
        <v>164</v>
      </c>
      <c r="C27" s="153" t="s">
        <v>106</v>
      </c>
      <c r="D27" s="171"/>
      <c r="E27" s="195">
        <v>2</v>
      </c>
      <c r="F27" s="107">
        <f>SUM(L27,Q27,V27,AA27,AF27,AK27,AP27,AU27,AZ27,BE27,BJ27,BO27)</f>
        <v>90</v>
      </c>
      <c r="G27" s="196">
        <f>SUM(H27:K27)</f>
        <v>36</v>
      </c>
      <c r="H27" s="172">
        <f>SUM(N27,S27,X27,AC27,AH27,AM27,AR27,AW27,BB27,BG27,BL27,BQ27)</f>
        <v>18</v>
      </c>
      <c r="I27" s="174"/>
      <c r="J27" s="174"/>
      <c r="K27" s="175">
        <f>SUM(O27,T27,Y27,AD27,AI27,AN27,AS27,AX27,BC27,BH27,BM27,BR27)</f>
        <v>18</v>
      </c>
      <c r="L27" s="107">
        <f>M27*1.8</f>
        <v>0</v>
      </c>
      <c r="M27" s="109">
        <f>SUM(N27:O27)</f>
        <v>0</v>
      </c>
      <c r="N27" s="176"/>
      <c r="O27" s="176"/>
      <c r="P27" s="109">
        <f>L27/36</f>
        <v>0</v>
      </c>
      <c r="Q27" s="112">
        <v>90</v>
      </c>
      <c r="R27" s="109">
        <f>SUM(S27:T27)</f>
        <v>36</v>
      </c>
      <c r="S27" s="176">
        <v>18</v>
      </c>
      <c r="T27" s="176">
        <v>18</v>
      </c>
      <c r="U27" s="110">
        <v>3</v>
      </c>
      <c r="V27" s="112">
        <f>W27*1.6</f>
        <v>0</v>
      </c>
      <c r="W27" s="109">
        <f>SUM(X27:Y27)</f>
        <v>0</v>
      </c>
      <c r="X27" s="176"/>
      <c r="Y27" s="176"/>
      <c r="Z27" s="109">
        <f>V27/36</f>
        <v>0</v>
      </c>
      <c r="AA27" s="174"/>
      <c r="AB27" s="197">
        <f>SUM(AC27:AD27)</f>
        <v>0</v>
      </c>
      <c r="AC27" s="176"/>
      <c r="AD27" s="176"/>
      <c r="AE27" s="110"/>
      <c r="AF27" s="177"/>
      <c r="AG27" s="109">
        <f>SUM(AH27:AI27)</f>
        <v>0</v>
      </c>
      <c r="AH27" s="176"/>
      <c r="AI27" s="176"/>
      <c r="AJ27" s="109"/>
      <c r="AK27" s="174"/>
      <c r="AL27" s="109">
        <f>SUM(AM27:AN27)</f>
        <v>0</v>
      </c>
      <c r="AM27" s="176"/>
      <c r="AN27" s="176"/>
      <c r="AO27" s="108"/>
      <c r="AP27" s="172"/>
      <c r="AQ27" s="174"/>
      <c r="AR27" s="176"/>
      <c r="AS27" s="176"/>
      <c r="AT27" s="109"/>
      <c r="AU27" s="174"/>
      <c r="AV27" s="99"/>
      <c r="AW27" s="176"/>
      <c r="AX27" s="176"/>
      <c r="AY27" s="110"/>
      <c r="AZ27" s="177"/>
      <c r="BA27" s="174"/>
      <c r="BB27" s="176"/>
      <c r="BC27" s="176"/>
      <c r="BD27" s="109"/>
      <c r="BE27" s="174"/>
      <c r="BF27" s="174"/>
      <c r="BG27" s="176"/>
      <c r="BH27" s="176"/>
      <c r="BI27" s="108"/>
      <c r="BJ27" s="172"/>
      <c r="BK27" s="174"/>
      <c r="BL27" s="176"/>
      <c r="BM27" s="176"/>
      <c r="BN27" s="109"/>
      <c r="BO27" s="174"/>
      <c r="BP27" s="174"/>
      <c r="BQ27" s="176"/>
      <c r="BR27" s="176"/>
      <c r="BS27" s="110"/>
      <c r="BT27" s="167">
        <f>SUM(P27,U27,Z27,AE27,AJ27,AO27,AT27,AY27,BD27,BI27,BN27,BS27)</f>
        <v>3</v>
      </c>
      <c r="BU27" s="156" t="s">
        <v>656</v>
      </c>
      <c r="BV27" s="66"/>
      <c r="BW27" s="66"/>
      <c r="BX27" s="85"/>
      <c r="BY27" s="85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</row>
    <row r="28" spans="2:131" ht="78" outlineLevel="1">
      <c r="B28" s="178" t="s">
        <v>184</v>
      </c>
      <c r="C28" s="200" t="s">
        <v>345</v>
      </c>
      <c r="D28" s="201"/>
      <c r="E28" s="207"/>
      <c r="F28" s="115"/>
      <c r="G28" s="202"/>
      <c r="H28" s="203"/>
      <c r="I28" s="193"/>
      <c r="J28" s="204"/>
      <c r="K28" s="205"/>
      <c r="L28" s="120"/>
      <c r="M28" s="117"/>
      <c r="N28" s="206"/>
      <c r="O28" s="206"/>
      <c r="P28" s="117"/>
      <c r="Q28" s="120"/>
      <c r="R28" s="117"/>
      <c r="S28" s="206"/>
      <c r="T28" s="206"/>
      <c r="U28" s="208"/>
      <c r="V28" s="120"/>
      <c r="W28" s="117"/>
      <c r="X28" s="206"/>
      <c r="Y28" s="206"/>
      <c r="Z28" s="117"/>
      <c r="AA28" s="193"/>
      <c r="AB28" s="183"/>
      <c r="AC28" s="206"/>
      <c r="AD28" s="206"/>
      <c r="AE28" s="118"/>
      <c r="AF28" s="204"/>
      <c r="AG28" s="117"/>
      <c r="AH28" s="206"/>
      <c r="AI28" s="206"/>
      <c r="AJ28" s="117"/>
      <c r="AK28" s="193"/>
      <c r="AL28" s="117"/>
      <c r="AM28" s="206"/>
      <c r="AN28" s="206"/>
      <c r="AO28" s="116"/>
      <c r="AP28" s="203"/>
      <c r="AQ28" s="193"/>
      <c r="AR28" s="206"/>
      <c r="AS28" s="206"/>
      <c r="AT28" s="117"/>
      <c r="AU28" s="193"/>
      <c r="AV28" s="146"/>
      <c r="AW28" s="206"/>
      <c r="AX28" s="206"/>
      <c r="AY28" s="118"/>
      <c r="AZ28" s="204"/>
      <c r="BA28" s="193"/>
      <c r="BB28" s="206"/>
      <c r="BC28" s="206"/>
      <c r="BD28" s="117"/>
      <c r="BE28" s="193"/>
      <c r="BF28" s="193"/>
      <c r="BG28" s="206"/>
      <c r="BH28" s="206"/>
      <c r="BI28" s="116"/>
      <c r="BJ28" s="203"/>
      <c r="BK28" s="193"/>
      <c r="BL28" s="206"/>
      <c r="BM28" s="206"/>
      <c r="BN28" s="117"/>
      <c r="BO28" s="193"/>
      <c r="BP28" s="193"/>
      <c r="BQ28" s="206"/>
      <c r="BR28" s="206"/>
      <c r="BS28" s="118"/>
      <c r="BT28" s="121"/>
      <c r="BU28" s="151" t="s">
        <v>654</v>
      </c>
      <c r="BV28" s="66"/>
      <c r="BW28" s="66"/>
      <c r="BX28" s="85"/>
      <c r="BY28" s="85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</row>
    <row r="29" spans="2:131" ht="43.5" customHeight="1" outlineLevel="1">
      <c r="B29" s="166" t="s">
        <v>200</v>
      </c>
      <c r="C29" s="153" t="s">
        <v>166</v>
      </c>
      <c r="D29" s="171"/>
      <c r="E29" s="195">
        <v>2</v>
      </c>
      <c r="F29" s="107">
        <f>SUM(L29,Q29,V29,AA29,AF29,AK29,AP29,AU29,AZ29,BE29,BJ29,BO29)</f>
        <v>120</v>
      </c>
      <c r="G29" s="196">
        <f>SUM(H29:K29)</f>
        <v>46</v>
      </c>
      <c r="H29" s="172">
        <f>SUM(N29,S29,X29,AC29,AH29,AM29,AR29,AW29,BB29,BG29,BL29,BQ29)</f>
        <v>12</v>
      </c>
      <c r="I29" s="174">
        <f>SUM(O29,T29,Y29,AD29,AI29,AN29,AS29,AX29,BC29,BH29,BM29,BR29)-J29</f>
        <v>0</v>
      </c>
      <c r="J29" s="177">
        <f>SUM(O29,T29,Y29,AD29,AI29,AN29,AS29,AX29,BC29,BH29,BM29,BR29)</f>
        <v>34</v>
      </c>
      <c r="K29" s="175"/>
      <c r="L29" s="177"/>
      <c r="M29" s="109">
        <f aca="true" t="shared" si="4" ref="M29:M64">SUM(N29:O29)</f>
        <v>0</v>
      </c>
      <c r="N29" s="176"/>
      <c r="O29" s="176"/>
      <c r="P29" s="109"/>
      <c r="Q29" s="177">
        <v>120</v>
      </c>
      <c r="R29" s="109">
        <f aca="true" t="shared" si="5" ref="R29:R64">SUM(S29:T29)</f>
        <v>46</v>
      </c>
      <c r="S29" s="176">
        <v>12</v>
      </c>
      <c r="T29" s="176">
        <v>34</v>
      </c>
      <c r="U29" s="110">
        <v>3</v>
      </c>
      <c r="V29" s="177"/>
      <c r="W29" s="109">
        <f>SUM(X29:Y29)</f>
        <v>0</v>
      </c>
      <c r="X29" s="176"/>
      <c r="Y29" s="176"/>
      <c r="Z29" s="109"/>
      <c r="AA29" s="174"/>
      <c r="AB29" s="197">
        <f>SUM(AC29:AD29)</f>
        <v>0</v>
      </c>
      <c r="AC29" s="176"/>
      <c r="AD29" s="176"/>
      <c r="AE29" s="110"/>
      <c r="AF29" s="177"/>
      <c r="AG29" s="109">
        <f>SUM(AH29:AI29)</f>
        <v>0</v>
      </c>
      <c r="AH29" s="176"/>
      <c r="AI29" s="176"/>
      <c r="AJ29" s="109"/>
      <c r="AK29" s="174"/>
      <c r="AL29" s="109">
        <f>SUM(AM29:AN29)</f>
        <v>0</v>
      </c>
      <c r="AM29" s="176"/>
      <c r="AN29" s="176"/>
      <c r="AO29" s="108"/>
      <c r="AP29" s="172"/>
      <c r="AQ29" s="174"/>
      <c r="AR29" s="176"/>
      <c r="AS29" s="176"/>
      <c r="AT29" s="109"/>
      <c r="AU29" s="174"/>
      <c r="AV29" s="99"/>
      <c r="AW29" s="176"/>
      <c r="AX29" s="176"/>
      <c r="AY29" s="110"/>
      <c r="AZ29" s="177"/>
      <c r="BA29" s="174"/>
      <c r="BB29" s="176"/>
      <c r="BC29" s="176"/>
      <c r="BD29" s="109"/>
      <c r="BE29" s="174"/>
      <c r="BF29" s="174"/>
      <c r="BG29" s="176"/>
      <c r="BH29" s="176"/>
      <c r="BI29" s="108"/>
      <c r="BJ29" s="172"/>
      <c r="BK29" s="174"/>
      <c r="BL29" s="176"/>
      <c r="BM29" s="176"/>
      <c r="BN29" s="109"/>
      <c r="BO29" s="174"/>
      <c r="BP29" s="174"/>
      <c r="BQ29" s="176"/>
      <c r="BR29" s="176"/>
      <c r="BS29" s="110"/>
      <c r="BT29" s="167">
        <f aca="true" t="shared" si="6" ref="BT29:BT43">SUM(P29,U29,Z29,AE29,AJ29,AO29,AT29,AY29,BD29,BI29,BN29,BS29)</f>
        <v>3</v>
      </c>
      <c r="BU29" s="156"/>
      <c r="BV29" s="66"/>
      <c r="BW29" s="66"/>
      <c r="BX29" s="85"/>
      <c r="BY29" s="85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</row>
    <row r="30" spans="2:131" ht="46.5" customHeight="1" outlineLevel="1">
      <c r="B30" s="170" t="s">
        <v>338</v>
      </c>
      <c r="C30" s="196" t="s">
        <v>195</v>
      </c>
      <c r="D30" s="171"/>
      <c r="E30" s="195">
        <v>3</v>
      </c>
      <c r="F30" s="107">
        <f>SUM(L30,Q30,V30,AA30,AF30,AK30,AP30,AU30,AZ30,BE30,BJ30,BO30)</f>
        <v>120</v>
      </c>
      <c r="G30" s="196">
        <f>SUM(H30:K30)</f>
        <v>72</v>
      </c>
      <c r="H30" s="172">
        <f>SUM(N30,S30,X30,AC30,AH30,AM30,AR30,AW30,BB30,BG30,BL30,BQ30)</f>
        <v>6</v>
      </c>
      <c r="I30" s="174"/>
      <c r="J30" s="174">
        <f>SUM(O30,T30,Y30,AD30,AI30,AN30,AS30,AX30,BC30,BH30,BM30,BR30)</f>
        <v>66</v>
      </c>
      <c r="K30" s="175"/>
      <c r="L30" s="107"/>
      <c r="M30" s="109">
        <f t="shared" si="4"/>
        <v>0</v>
      </c>
      <c r="N30" s="176"/>
      <c r="O30" s="176"/>
      <c r="P30" s="108"/>
      <c r="Q30" s="109"/>
      <c r="R30" s="109">
        <f t="shared" si="5"/>
        <v>0</v>
      </c>
      <c r="S30" s="176"/>
      <c r="T30" s="176"/>
      <c r="U30" s="110"/>
      <c r="V30" s="109">
        <v>120</v>
      </c>
      <c r="W30" s="109">
        <f>SUM(X30:Y30)</f>
        <v>72</v>
      </c>
      <c r="X30" s="176">
        <v>6</v>
      </c>
      <c r="Y30" s="176">
        <v>66</v>
      </c>
      <c r="Z30" s="109">
        <v>4</v>
      </c>
      <c r="AA30" s="109"/>
      <c r="AB30" s="197">
        <f>SUM(AC30:AD30)</f>
        <v>0</v>
      </c>
      <c r="AC30" s="176"/>
      <c r="AD30" s="176"/>
      <c r="AE30" s="110"/>
      <c r="AF30" s="112">
        <f>AG30*1.4</f>
        <v>0</v>
      </c>
      <c r="AG30" s="109">
        <f>SUM(AH30:AI30)</f>
        <v>0</v>
      </c>
      <c r="AH30" s="176"/>
      <c r="AI30" s="176"/>
      <c r="AJ30" s="109">
        <f>AF30/36</f>
        <v>0</v>
      </c>
      <c r="AK30" s="174"/>
      <c r="AL30" s="109">
        <f>SUM(AM30:AN30)</f>
        <v>0</v>
      </c>
      <c r="AM30" s="176"/>
      <c r="AN30" s="176"/>
      <c r="AO30" s="108"/>
      <c r="AP30" s="172"/>
      <c r="AQ30" s="174"/>
      <c r="AR30" s="176"/>
      <c r="AS30" s="176"/>
      <c r="AT30" s="109"/>
      <c r="AU30" s="174"/>
      <c r="AV30" s="99"/>
      <c r="AW30" s="176"/>
      <c r="AX30" s="176"/>
      <c r="AY30" s="110"/>
      <c r="AZ30" s="177"/>
      <c r="BA30" s="174"/>
      <c r="BB30" s="176"/>
      <c r="BC30" s="176"/>
      <c r="BD30" s="109"/>
      <c r="BE30" s="174"/>
      <c r="BF30" s="174"/>
      <c r="BG30" s="176"/>
      <c r="BH30" s="176"/>
      <c r="BI30" s="108"/>
      <c r="BJ30" s="172"/>
      <c r="BK30" s="174"/>
      <c r="BL30" s="176"/>
      <c r="BM30" s="176"/>
      <c r="BN30" s="109"/>
      <c r="BO30" s="174"/>
      <c r="BP30" s="174"/>
      <c r="BQ30" s="176"/>
      <c r="BR30" s="176"/>
      <c r="BS30" s="110"/>
      <c r="BT30" s="167">
        <f t="shared" si="6"/>
        <v>4</v>
      </c>
      <c r="BU30" s="156"/>
      <c r="BV30" s="66"/>
      <c r="BW30" s="66"/>
      <c r="BX30" s="85"/>
      <c r="BY30" s="85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</row>
    <row r="31" spans="2:131" ht="39" outlineLevel="1">
      <c r="B31" s="209" t="s">
        <v>185</v>
      </c>
      <c r="C31" s="210" t="s">
        <v>353</v>
      </c>
      <c r="D31" s="211"/>
      <c r="E31" s="212"/>
      <c r="F31" s="213"/>
      <c r="G31" s="214"/>
      <c r="H31" s="213"/>
      <c r="I31" s="215"/>
      <c r="J31" s="215"/>
      <c r="K31" s="216"/>
      <c r="L31" s="213"/>
      <c r="M31" s="217"/>
      <c r="N31" s="218"/>
      <c r="O31" s="218"/>
      <c r="P31" s="215"/>
      <c r="Q31" s="219"/>
      <c r="R31" s="217"/>
      <c r="S31" s="218"/>
      <c r="T31" s="218"/>
      <c r="U31" s="216"/>
      <c r="V31" s="219"/>
      <c r="W31" s="217"/>
      <c r="X31" s="218"/>
      <c r="Y31" s="218"/>
      <c r="Z31" s="215"/>
      <c r="AA31" s="219"/>
      <c r="AB31" s="215"/>
      <c r="AC31" s="218"/>
      <c r="AD31" s="218"/>
      <c r="AE31" s="216"/>
      <c r="AF31" s="219"/>
      <c r="AG31" s="215"/>
      <c r="AH31" s="218"/>
      <c r="AI31" s="218"/>
      <c r="AJ31" s="215"/>
      <c r="AK31" s="215"/>
      <c r="AL31" s="215"/>
      <c r="AM31" s="218"/>
      <c r="AN31" s="218"/>
      <c r="AO31" s="220"/>
      <c r="AP31" s="213"/>
      <c r="AQ31" s="215"/>
      <c r="AR31" s="218"/>
      <c r="AS31" s="218"/>
      <c r="AT31" s="215"/>
      <c r="AU31" s="215"/>
      <c r="AV31" s="221"/>
      <c r="AW31" s="218"/>
      <c r="AX31" s="218"/>
      <c r="AY31" s="216"/>
      <c r="AZ31" s="219"/>
      <c r="BA31" s="215"/>
      <c r="BB31" s="218"/>
      <c r="BC31" s="218"/>
      <c r="BD31" s="215"/>
      <c r="BE31" s="215"/>
      <c r="BF31" s="215"/>
      <c r="BG31" s="218"/>
      <c r="BH31" s="218"/>
      <c r="BI31" s="220"/>
      <c r="BJ31" s="213"/>
      <c r="BK31" s="215"/>
      <c r="BL31" s="218"/>
      <c r="BM31" s="218"/>
      <c r="BN31" s="215"/>
      <c r="BO31" s="215"/>
      <c r="BP31" s="215"/>
      <c r="BQ31" s="218"/>
      <c r="BR31" s="218"/>
      <c r="BS31" s="216"/>
      <c r="BT31" s="222"/>
      <c r="BU31" s="223"/>
      <c r="BV31" s="69">
        <f>SUM(BT32:BT33)</f>
        <v>12</v>
      </c>
      <c r="BW31" s="66"/>
      <c r="BX31" s="85"/>
      <c r="BY31" s="85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</row>
    <row r="32" spans="2:131" ht="20.25" outlineLevel="1">
      <c r="B32" s="166" t="s">
        <v>256</v>
      </c>
      <c r="C32" s="224" t="s">
        <v>63</v>
      </c>
      <c r="D32" s="225">
        <v>4</v>
      </c>
      <c r="E32" s="226">
        <v>3</v>
      </c>
      <c r="F32" s="227">
        <f aca="true" t="shared" si="7" ref="F32:F39">SUM(L32,Q32,V32,AA32,AF32,AK32,AP32,AU32,AZ32,BE32,BJ32,BO32)</f>
        <v>216</v>
      </c>
      <c r="G32" s="228">
        <f aca="true" t="shared" si="8" ref="G32:G39">SUM(H32:K32)</f>
        <v>122</v>
      </c>
      <c r="H32" s="227">
        <f>SUM(N32,S32,X32,AC32,AH32,AM32,AR32,AW32,BB32,BG32,BL32,BQ32)</f>
        <v>32</v>
      </c>
      <c r="I32" s="197">
        <f>SUM(O32,T32,Y32,AD32,AI32,AN32,AS32,AX32,BC32,BH32,BM32,BR32)</f>
        <v>90</v>
      </c>
      <c r="J32" s="197"/>
      <c r="K32" s="229"/>
      <c r="L32" s="227"/>
      <c r="M32" s="109">
        <f t="shared" si="4"/>
        <v>0</v>
      </c>
      <c r="N32" s="230"/>
      <c r="O32" s="230"/>
      <c r="P32" s="197">
        <f>L32/36</f>
        <v>0</v>
      </c>
      <c r="Q32" s="197"/>
      <c r="R32" s="109">
        <f t="shared" si="5"/>
        <v>0</v>
      </c>
      <c r="S32" s="230"/>
      <c r="T32" s="230"/>
      <c r="U32" s="229">
        <f>Q32/36</f>
        <v>0</v>
      </c>
      <c r="V32" s="231">
        <v>108</v>
      </c>
      <c r="W32" s="109">
        <f>SUM(X32:Y32)</f>
        <v>61</v>
      </c>
      <c r="X32" s="230">
        <v>16</v>
      </c>
      <c r="Y32" s="230">
        <v>45</v>
      </c>
      <c r="Z32" s="197">
        <v>3</v>
      </c>
      <c r="AA32" s="231">
        <v>108</v>
      </c>
      <c r="AB32" s="197">
        <f>SUM(AC32:AD32)</f>
        <v>61</v>
      </c>
      <c r="AC32" s="230">
        <v>16</v>
      </c>
      <c r="AD32" s="230">
        <v>45</v>
      </c>
      <c r="AE32" s="229">
        <v>3</v>
      </c>
      <c r="AF32" s="231"/>
      <c r="AG32" s="197"/>
      <c r="AH32" s="230"/>
      <c r="AI32" s="230"/>
      <c r="AJ32" s="197"/>
      <c r="AK32" s="197"/>
      <c r="AL32" s="197"/>
      <c r="AM32" s="230"/>
      <c r="AN32" s="230"/>
      <c r="AO32" s="228"/>
      <c r="AP32" s="227"/>
      <c r="AQ32" s="197"/>
      <c r="AR32" s="230"/>
      <c r="AS32" s="230"/>
      <c r="AT32" s="197"/>
      <c r="AU32" s="197"/>
      <c r="AV32" s="99"/>
      <c r="AW32" s="230"/>
      <c r="AX32" s="230"/>
      <c r="AY32" s="229"/>
      <c r="AZ32" s="231"/>
      <c r="BA32" s="197"/>
      <c r="BB32" s="230"/>
      <c r="BC32" s="230"/>
      <c r="BD32" s="197"/>
      <c r="BE32" s="197"/>
      <c r="BF32" s="197"/>
      <c r="BG32" s="230"/>
      <c r="BH32" s="230"/>
      <c r="BI32" s="228"/>
      <c r="BJ32" s="227"/>
      <c r="BK32" s="197"/>
      <c r="BL32" s="230"/>
      <c r="BM32" s="230"/>
      <c r="BN32" s="197"/>
      <c r="BO32" s="197"/>
      <c r="BP32" s="197"/>
      <c r="BQ32" s="230"/>
      <c r="BR32" s="230"/>
      <c r="BS32" s="229"/>
      <c r="BT32" s="167">
        <f t="shared" si="6"/>
        <v>6</v>
      </c>
      <c r="BU32" s="156" t="s">
        <v>317</v>
      </c>
      <c r="BV32" s="66"/>
      <c r="BW32" s="66"/>
      <c r="BX32" s="85"/>
      <c r="BY32" s="85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</row>
    <row r="33" spans="2:131" ht="45" customHeight="1" outlineLevel="1">
      <c r="B33" s="170" t="s">
        <v>481</v>
      </c>
      <c r="C33" s="153" t="s">
        <v>69</v>
      </c>
      <c r="D33" s="104">
        <v>4</v>
      </c>
      <c r="E33" s="105">
        <v>3</v>
      </c>
      <c r="F33" s="107">
        <f t="shared" si="7"/>
        <v>216</v>
      </c>
      <c r="G33" s="108">
        <f t="shared" si="8"/>
        <v>131</v>
      </c>
      <c r="H33" s="107">
        <f aca="true" t="shared" si="9" ref="H33:H39">SUM(N33,S33,X33,AC33,AH33,AM33,AR33,AW33,BB33,BG33,BL33,BQ33)</f>
        <v>20</v>
      </c>
      <c r="I33" s="109"/>
      <c r="J33" s="109">
        <f>SUM(O33,T33,Y33,AD33,AI33,AN33,AS33,AX33,BC33,BH33,BM33,BR33)</f>
        <v>111</v>
      </c>
      <c r="K33" s="110"/>
      <c r="L33" s="107"/>
      <c r="M33" s="109">
        <f t="shared" si="4"/>
        <v>0</v>
      </c>
      <c r="N33" s="111"/>
      <c r="O33" s="111"/>
      <c r="P33" s="109"/>
      <c r="Q33" s="109"/>
      <c r="R33" s="109">
        <f t="shared" si="5"/>
        <v>0</v>
      </c>
      <c r="S33" s="111"/>
      <c r="T33" s="111"/>
      <c r="U33" s="110"/>
      <c r="V33" s="112">
        <v>108</v>
      </c>
      <c r="W33" s="109">
        <f>SUM(X33:Y33)</f>
        <v>64</v>
      </c>
      <c r="X33" s="111">
        <v>10</v>
      </c>
      <c r="Y33" s="111">
        <v>54</v>
      </c>
      <c r="Z33" s="109">
        <v>3</v>
      </c>
      <c r="AA33" s="112">
        <v>108</v>
      </c>
      <c r="AB33" s="197">
        <f>SUM(AC33:AD33)</f>
        <v>67</v>
      </c>
      <c r="AC33" s="111">
        <v>10</v>
      </c>
      <c r="AD33" s="111">
        <v>57</v>
      </c>
      <c r="AE33" s="110">
        <v>3</v>
      </c>
      <c r="AF33" s="112"/>
      <c r="AG33" s="109">
        <f aca="true" t="shared" si="10" ref="AG33:AG39">SUM(AH33:AI33)</f>
        <v>0</v>
      </c>
      <c r="AH33" s="111"/>
      <c r="AI33" s="111"/>
      <c r="AJ33" s="109">
        <f>AF33/36</f>
        <v>0</v>
      </c>
      <c r="AK33" s="109"/>
      <c r="AL33" s="109"/>
      <c r="AM33" s="111"/>
      <c r="AN33" s="111"/>
      <c r="AO33" s="108"/>
      <c r="AP33" s="107"/>
      <c r="AQ33" s="109"/>
      <c r="AR33" s="111"/>
      <c r="AS33" s="111"/>
      <c r="AT33" s="109"/>
      <c r="AU33" s="109"/>
      <c r="AV33" s="99"/>
      <c r="AW33" s="111"/>
      <c r="AX33" s="111"/>
      <c r="AY33" s="110"/>
      <c r="AZ33" s="112"/>
      <c r="BA33" s="109"/>
      <c r="BB33" s="111"/>
      <c r="BC33" s="111"/>
      <c r="BD33" s="109"/>
      <c r="BE33" s="109"/>
      <c r="BF33" s="109"/>
      <c r="BG33" s="111"/>
      <c r="BH33" s="111"/>
      <c r="BI33" s="108"/>
      <c r="BJ33" s="107"/>
      <c r="BK33" s="109"/>
      <c r="BL33" s="111"/>
      <c r="BM33" s="111"/>
      <c r="BN33" s="109"/>
      <c r="BO33" s="109"/>
      <c r="BP33" s="109"/>
      <c r="BQ33" s="111"/>
      <c r="BR33" s="111"/>
      <c r="BS33" s="110"/>
      <c r="BT33" s="167">
        <f t="shared" si="6"/>
        <v>6</v>
      </c>
      <c r="BU33" s="156" t="s">
        <v>318</v>
      </c>
      <c r="BV33" s="66"/>
      <c r="BW33" s="66"/>
      <c r="BX33" s="85"/>
      <c r="BY33" s="85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</row>
    <row r="34" spans="2:131" ht="39" outlineLevel="1">
      <c r="B34" s="188" t="s">
        <v>186</v>
      </c>
      <c r="C34" s="200" t="s">
        <v>529</v>
      </c>
      <c r="D34" s="113"/>
      <c r="E34" s="114"/>
      <c r="F34" s="115"/>
      <c r="G34" s="202"/>
      <c r="H34" s="203"/>
      <c r="I34" s="232"/>
      <c r="J34" s="193"/>
      <c r="K34" s="205"/>
      <c r="L34" s="115"/>
      <c r="M34" s="117"/>
      <c r="N34" s="119"/>
      <c r="O34" s="119"/>
      <c r="P34" s="117"/>
      <c r="Q34" s="120"/>
      <c r="R34" s="117"/>
      <c r="S34" s="119"/>
      <c r="T34" s="119"/>
      <c r="U34" s="118"/>
      <c r="V34" s="120"/>
      <c r="W34" s="117"/>
      <c r="X34" s="119"/>
      <c r="Y34" s="119"/>
      <c r="Z34" s="117"/>
      <c r="AA34" s="117"/>
      <c r="AB34" s="117"/>
      <c r="AC34" s="119"/>
      <c r="AD34" s="119"/>
      <c r="AE34" s="118"/>
      <c r="AF34" s="120"/>
      <c r="AG34" s="117"/>
      <c r="AH34" s="119"/>
      <c r="AI34" s="119"/>
      <c r="AJ34" s="117"/>
      <c r="AK34" s="117"/>
      <c r="AL34" s="117"/>
      <c r="AM34" s="119"/>
      <c r="AN34" s="119"/>
      <c r="AO34" s="118"/>
      <c r="AP34" s="233"/>
      <c r="AQ34" s="117"/>
      <c r="AR34" s="234"/>
      <c r="AS34" s="234"/>
      <c r="AT34" s="235"/>
      <c r="AU34" s="234"/>
      <c r="AV34" s="117"/>
      <c r="AW34" s="234"/>
      <c r="AX34" s="234"/>
      <c r="AY34" s="236"/>
      <c r="AZ34" s="120"/>
      <c r="BA34" s="117"/>
      <c r="BB34" s="119"/>
      <c r="BC34" s="119"/>
      <c r="BD34" s="117"/>
      <c r="BE34" s="117"/>
      <c r="BF34" s="117"/>
      <c r="BG34" s="119"/>
      <c r="BH34" s="119"/>
      <c r="BI34" s="118"/>
      <c r="BJ34" s="120"/>
      <c r="BK34" s="117"/>
      <c r="BL34" s="119"/>
      <c r="BM34" s="119"/>
      <c r="BN34" s="117"/>
      <c r="BO34" s="120"/>
      <c r="BP34" s="117"/>
      <c r="BQ34" s="119"/>
      <c r="BR34" s="119"/>
      <c r="BS34" s="118"/>
      <c r="BT34" s="121"/>
      <c r="BU34" s="187"/>
      <c r="BV34" s="66"/>
      <c r="BW34" s="66"/>
      <c r="BX34" s="85"/>
      <c r="BY34" s="85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</row>
    <row r="35" spans="2:131" ht="20.25" outlineLevel="1">
      <c r="B35" s="170" t="s">
        <v>201</v>
      </c>
      <c r="C35" s="153" t="s">
        <v>225</v>
      </c>
      <c r="D35" s="104">
        <v>4</v>
      </c>
      <c r="E35" s="105">
        <v>3</v>
      </c>
      <c r="F35" s="107">
        <f t="shared" si="7"/>
        <v>336</v>
      </c>
      <c r="G35" s="196">
        <f t="shared" si="8"/>
        <v>158</v>
      </c>
      <c r="H35" s="172">
        <f t="shared" si="9"/>
        <v>38</v>
      </c>
      <c r="I35" s="173"/>
      <c r="J35" s="174">
        <f>SUM(O35,T35,Y35,AD35,AI35,AN35,AS35,AX35,BC35,BH35,BM35,BR35)</f>
        <v>120</v>
      </c>
      <c r="K35" s="175"/>
      <c r="L35" s="107"/>
      <c r="M35" s="109">
        <f t="shared" si="4"/>
        <v>0</v>
      </c>
      <c r="N35" s="111"/>
      <c r="O35" s="111"/>
      <c r="P35" s="109"/>
      <c r="Q35" s="112"/>
      <c r="R35" s="109">
        <f t="shared" si="5"/>
        <v>0</v>
      </c>
      <c r="S35" s="111"/>
      <c r="T35" s="111"/>
      <c r="U35" s="110"/>
      <c r="V35" s="177">
        <v>120</v>
      </c>
      <c r="W35" s="109">
        <f>SUM(X35:Y35)</f>
        <v>54</v>
      </c>
      <c r="X35" s="176">
        <v>14</v>
      </c>
      <c r="Y35" s="176">
        <v>40</v>
      </c>
      <c r="Z35" s="109">
        <v>3</v>
      </c>
      <c r="AA35" s="174">
        <v>216</v>
      </c>
      <c r="AB35" s="109">
        <f>SUM(AC35:AD35)</f>
        <v>104</v>
      </c>
      <c r="AC35" s="176">
        <v>24</v>
      </c>
      <c r="AD35" s="176">
        <v>80</v>
      </c>
      <c r="AE35" s="110">
        <v>6</v>
      </c>
      <c r="AF35" s="112"/>
      <c r="AG35" s="109">
        <f t="shared" si="10"/>
        <v>0</v>
      </c>
      <c r="AH35" s="111"/>
      <c r="AI35" s="111"/>
      <c r="AJ35" s="109"/>
      <c r="AK35" s="109"/>
      <c r="AL35" s="109">
        <f>SUM(AM35:AN35)</f>
        <v>0</v>
      </c>
      <c r="AM35" s="111"/>
      <c r="AN35" s="111"/>
      <c r="AO35" s="110"/>
      <c r="AP35" s="237"/>
      <c r="AQ35" s="109">
        <f>SUM(AR35:AS35)</f>
        <v>0</v>
      </c>
      <c r="AR35" s="238"/>
      <c r="AS35" s="238"/>
      <c r="AT35" s="239"/>
      <c r="AU35" s="238"/>
      <c r="AV35" s="109">
        <f>SUM(AW35:AX35)</f>
        <v>0</v>
      </c>
      <c r="AW35" s="238"/>
      <c r="AX35" s="238"/>
      <c r="AY35" s="240"/>
      <c r="AZ35" s="112"/>
      <c r="BA35" s="109">
        <f>SUM(BB35:BC35)</f>
        <v>0</v>
      </c>
      <c r="BB35" s="111"/>
      <c r="BC35" s="111"/>
      <c r="BD35" s="109"/>
      <c r="BE35" s="109"/>
      <c r="BF35" s="109">
        <f>SUM(BG35:BH35)</f>
        <v>0</v>
      </c>
      <c r="BG35" s="111"/>
      <c r="BH35" s="111"/>
      <c r="BI35" s="110"/>
      <c r="BJ35" s="112"/>
      <c r="BK35" s="109">
        <f>SUM(BL35:BM35)</f>
        <v>0</v>
      </c>
      <c r="BL35" s="111"/>
      <c r="BM35" s="111"/>
      <c r="BN35" s="109"/>
      <c r="BO35" s="112"/>
      <c r="BP35" s="109">
        <f>SUM(BQ35:BR35)</f>
        <v>0</v>
      </c>
      <c r="BQ35" s="111"/>
      <c r="BR35" s="111"/>
      <c r="BS35" s="110"/>
      <c r="BT35" s="167">
        <f t="shared" si="6"/>
        <v>9</v>
      </c>
      <c r="BU35" s="156" t="s">
        <v>319</v>
      </c>
      <c r="BV35" s="66"/>
      <c r="BW35" s="66"/>
      <c r="BX35" s="85"/>
      <c r="BY35" s="85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</row>
    <row r="36" spans="2:131" ht="47.25" customHeight="1" outlineLevel="1">
      <c r="B36" s="170" t="s">
        <v>202</v>
      </c>
      <c r="C36" s="153" t="s">
        <v>226</v>
      </c>
      <c r="D36" s="104">
        <v>4</v>
      </c>
      <c r="E36" s="105">
        <v>3</v>
      </c>
      <c r="F36" s="107">
        <f t="shared" si="7"/>
        <v>198</v>
      </c>
      <c r="G36" s="196">
        <f t="shared" si="8"/>
        <v>92</v>
      </c>
      <c r="H36" s="172">
        <f t="shared" si="9"/>
        <v>18</v>
      </c>
      <c r="I36" s="173"/>
      <c r="J36" s="174">
        <f>SUM(O36,T36,Y36,AD36,AI36,AN36,AS36,AX36,BC36,BH36,BM36,BR36)</f>
        <v>74</v>
      </c>
      <c r="K36" s="175"/>
      <c r="L36" s="107"/>
      <c r="M36" s="109">
        <f t="shared" si="4"/>
        <v>0</v>
      </c>
      <c r="N36" s="111"/>
      <c r="O36" s="111"/>
      <c r="P36" s="109"/>
      <c r="Q36" s="112"/>
      <c r="R36" s="109">
        <f t="shared" si="5"/>
        <v>0</v>
      </c>
      <c r="S36" s="111"/>
      <c r="T36" s="111"/>
      <c r="U36" s="110"/>
      <c r="V36" s="112">
        <v>90</v>
      </c>
      <c r="W36" s="109">
        <f>SUM(X36:Y36)</f>
        <v>42</v>
      </c>
      <c r="X36" s="111">
        <v>6</v>
      </c>
      <c r="Y36" s="111">
        <v>36</v>
      </c>
      <c r="Z36" s="109">
        <v>3</v>
      </c>
      <c r="AA36" s="174">
        <v>108</v>
      </c>
      <c r="AB36" s="109">
        <f>SUM(AC36:AD36)</f>
        <v>50</v>
      </c>
      <c r="AC36" s="176">
        <v>12</v>
      </c>
      <c r="AD36" s="176">
        <v>38</v>
      </c>
      <c r="AE36" s="110">
        <v>3</v>
      </c>
      <c r="AF36" s="112"/>
      <c r="AG36" s="109">
        <f t="shared" si="10"/>
        <v>0</v>
      </c>
      <c r="AH36" s="111"/>
      <c r="AI36" s="111"/>
      <c r="AJ36" s="109"/>
      <c r="AK36" s="109"/>
      <c r="AL36" s="109">
        <f>SUM(AM36:AN36)</f>
        <v>0</v>
      </c>
      <c r="AM36" s="111"/>
      <c r="AN36" s="111"/>
      <c r="AO36" s="110"/>
      <c r="AP36" s="237"/>
      <c r="AQ36" s="109">
        <f>SUM(AR36:AS36)</f>
        <v>0</v>
      </c>
      <c r="AR36" s="238"/>
      <c r="AS36" s="238"/>
      <c r="AT36" s="239"/>
      <c r="AU36" s="238"/>
      <c r="AV36" s="109">
        <f>SUM(AW36:AX36)</f>
        <v>0</v>
      </c>
      <c r="AW36" s="238"/>
      <c r="AX36" s="238"/>
      <c r="AY36" s="240"/>
      <c r="AZ36" s="112"/>
      <c r="BA36" s="109">
        <f>SUM(BB36:BC36)</f>
        <v>0</v>
      </c>
      <c r="BB36" s="111"/>
      <c r="BC36" s="111"/>
      <c r="BD36" s="109"/>
      <c r="BE36" s="109"/>
      <c r="BF36" s="109">
        <f>SUM(BG36:BH36)</f>
        <v>0</v>
      </c>
      <c r="BG36" s="111"/>
      <c r="BH36" s="111"/>
      <c r="BI36" s="110"/>
      <c r="BJ36" s="112"/>
      <c r="BK36" s="109">
        <f>SUM(BL36:BM36)</f>
        <v>0</v>
      </c>
      <c r="BL36" s="111"/>
      <c r="BM36" s="111"/>
      <c r="BN36" s="109"/>
      <c r="BO36" s="112"/>
      <c r="BP36" s="109">
        <f>SUM(BQ36:BR36)</f>
        <v>0</v>
      </c>
      <c r="BQ36" s="111"/>
      <c r="BR36" s="111"/>
      <c r="BS36" s="110"/>
      <c r="BT36" s="167">
        <f t="shared" si="6"/>
        <v>6</v>
      </c>
      <c r="BU36" s="156" t="s">
        <v>320</v>
      </c>
      <c r="BV36" s="66"/>
      <c r="BW36" s="66"/>
      <c r="BX36" s="85"/>
      <c r="BY36" s="85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</row>
    <row r="37" spans="2:131" ht="58.5" outlineLevel="1">
      <c r="B37" s="188" t="s">
        <v>187</v>
      </c>
      <c r="C37" s="200" t="s">
        <v>355</v>
      </c>
      <c r="D37" s="201"/>
      <c r="E37" s="190"/>
      <c r="F37" s="115"/>
      <c r="G37" s="202"/>
      <c r="H37" s="203"/>
      <c r="I37" s="232"/>
      <c r="J37" s="193"/>
      <c r="K37" s="205"/>
      <c r="L37" s="115"/>
      <c r="M37" s="117"/>
      <c r="N37" s="206"/>
      <c r="O37" s="206"/>
      <c r="P37" s="117"/>
      <c r="Q37" s="120"/>
      <c r="R37" s="117"/>
      <c r="S37" s="206"/>
      <c r="T37" s="206"/>
      <c r="U37" s="118"/>
      <c r="V37" s="120"/>
      <c r="W37" s="117"/>
      <c r="X37" s="206"/>
      <c r="Y37" s="206"/>
      <c r="Z37" s="117"/>
      <c r="AA37" s="193"/>
      <c r="AB37" s="183"/>
      <c r="AC37" s="206"/>
      <c r="AD37" s="206"/>
      <c r="AE37" s="118"/>
      <c r="AF37" s="204"/>
      <c r="AG37" s="117"/>
      <c r="AH37" s="206"/>
      <c r="AI37" s="206"/>
      <c r="AJ37" s="117"/>
      <c r="AK37" s="193"/>
      <c r="AL37" s="117"/>
      <c r="AM37" s="206"/>
      <c r="AN37" s="206"/>
      <c r="AO37" s="118"/>
      <c r="AP37" s="204"/>
      <c r="AQ37" s="193"/>
      <c r="AR37" s="206"/>
      <c r="AS37" s="206"/>
      <c r="AT37" s="117"/>
      <c r="AU37" s="193"/>
      <c r="AV37" s="146"/>
      <c r="AW37" s="206"/>
      <c r="AX37" s="206"/>
      <c r="AY37" s="118"/>
      <c r="AZ37" s="204"/>
      <c r="BA37" s="193"/>
      <c r="BB37" s="206"/>
      <c r="BC37" s="206"/>
      <c r="BD37" s="117"/>
      <c r="BE37" s="193"/>
      <c r="BF37" s="193"/>
      <c r="BG37" s="206"/>
      <c r="BH37" s="206"/>
      <c r="BI37" s="118"/>
      <c r="BJ37" s="204"/>
      <c r="BK37" s="193"/>
      <c r="BL37" s="206"/>
      <c r="BM37" s="206"/>
      <c r="BN37" s="117"/>
      <c r="BO37" s="204"/>
      <c r="BP37" s="193"/>
      <c r="BQ37" s="206"/>
      <c r="BR37" s="206"/>
      <c r="BS37" s="118"/>
      <c r="BT37" s="121"/>
      <c r="BU37" s="151"/>
      <c r="BV37" s="66"/>
      <c r="BW37" s="66"/>
      <c r="BX37" s="85"/>
      <c r="BY37" s="85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</row>
    <row r="38" spans="2:131" ht="56.25" outlineLevel="1">
      <c r="B38" s="170" t="s">
        <v>203</v>
      </c>
      <c r="C38" s="153" t="s">
        <v>212</v>
      </c>
      <c r="D38" s="171">
        <v>5</v>
      </c>
      <c r="E38" s="195">
        <v>4</v>
      </c>
      <c r="F38" s="107">
        <f t="shared" si="7"/>
        <v>216</v>
      </c>
      <c r="G38" s="196">
        <f t="shared" si="8"/>
        <v>86</v>
      </c>
      <c r="H38" s="172">
        <f t="shared" si="9"/>
        <v>16</v>
      </c>
      <c r="I38" s="174">
        <f>SUM(O38,T38,Y38,AD38,AI38,AN38,AS38,AX38,BC38,BH38,BM38,BR38)</f>
        <v>70</v>
      </c>
      <c r="J38" s="174"/>
      <c r="K38" s="175"/>
      <c r="L38" s="172"/>
      <c r="M38" s="109">
        <f t="shared" si="4"/>
        <v>0</v>
      </c>
      <c r="N38" s="176"/>
      <c r="O38" s="176"/>
      <c r="P38" s="109"/>
      <c r="Q38" s="174"/>
      <c r="R38" s="109">
        <f t="shared" si="5"/>
        <v>0</v>
      </c>
      <c r="S38" s="176"/>
      <c r="T38" s="176"/>
      <c r="U38" s="110"/>
      <c r="V38" s="177"/>
      <c r="W38" s="109">
        <f>SUM(X38:Y38)</f>
        <v>0</v>
      </c>
      <c r="X38" s="176"/>
      <c r="Y38" s="176"/>
      <c r="Z38" s="109"/>
      <c r="AA38" s="174">
        <v>108</v>
      </c>
      <c r="AB38" s="197">
        <f>SUM(AC38:AD38)</f>
        <v>50</v>
      </c>
      <c r="AC38" s="176">
        <v>10</v>
      </c>
      <c r="AD38" s="176">
        <v>40</v>
      </c>
      <c r="AE38" s="110">
        <v>3</v>
      </c>
      <c r="AF38" s="112">
        <v>108</v>
      </c>
      <c r="AG38" s="109">
        <f t="shared" si="10"/>
        <v>36</v>
      </c>
      <c r="AH38" s="176">
        <v>6</v>
      </c>
      <c r="AI38" s="176">
        <v>30</v>
      </c>
      <c r="AJ38" s="109">
        <v>3</v>
      </c>
      <c r="AK38" s="174"/>
      <c r="AL38" s="109">
        <f>SUM(AM38:AN38)</f>
        <v>0</v>
      </c>
      <c r="AM38" s="176"/>
      <c r="AN38" s="176"/>
      <c r="AO38" s="110">
        <f>AK38/36</f>
        <v>0</v>
      </c>
      <c r="AP38" s="177"/>
      <c r="AQ38" s="174"/>
      <c r="AR38" s="176"/>
      <c r="AS38" s="176"/>
      <c r="AT38" s="109"/>
      <c r="AU38" s="174"/>
      <c r="AV38" s="99"/>
      <c r="AW38" s="176"/>
      <c r="AX38" s="176"/>
      <c r="AY38" s="110"/>
      <c r="AZ38" s="177"/>
      <c r="BA38" s="174"/>
      <c r="BB38" s="176"/>
      <c r="BC38" s="176"/>
      <c r="BD38" s="109"/>
      <c r="BE38" s="174"/>
      <c r="BF38" s="174"/>
      <c r="BG38" s="176"/>
      <c r="BH38" s="176"/>
      <c r="BI38" s="110"/>
      <c r="BJ38" s="177"/>
      <c r="BK38" s="174"/>
      <c r="BL38" s="176"/>
      <c r="BM38" s="176"/>
      <c r="BN38" s="109"/>
      <c r="BO38" s="177"/>
      <c r="BP38" s="174"/>
      <c r="BQ38" s="176"/>
      <c r="BR38" s="176"/>
      <c r="BS38" s="110"/>
      <c r="BT38" s="167">
        <f t="shared" si="6"/>
        <v>6</v>
      </c>
      <c r="BU38" s="156" t="s">
        <v>363</v>
      </c>
      <c r="BV38" s="66"/>
      <c r="BW38" s="66"/>
      <c r="BX38" s="85"/>
      <c r="BY38" s="85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</row>
    <row r="39" spans="2:131" ht="37.5" outlineLevel="1">
      <c r="B39" s="170" t="s">
        <v>257</v>
      </c>
      <c r="C39" s="153" t="s">
        <v>250</v>
      </c>
      <c r="D39" s="171">
        <v>5</v>
      </c>
      <c r="E39" s="195"/>
      <c r="F39" s="107">
        <f t="shared" si="7"/>
        <v>120</v>
      </c>
      <c r="G39" s="196">
        <f t="shared" si="8"/>
        <v>60</v>
      </c>
      <c r="H39" s="172">
        <f t="shared" si="9"/>
        <v>12</v>
      </c>
      <c r="I39" s="173"/>
      <c r="J39" s="174">
        <f>SUM(O39,T39,Y39,AD39,AI39,AN39,AS39,AX39,BC39,BH39,BM39,BR39)</f>
        <v>48</v>
      </c>
      <c r="K39" s="175"/>
      <c r="L39" s="172"/>
      <c r="M39" s="109">
        <f t="shared" si="4"/>
        <v>0</v>
      </c>
      <c r="N39" s="176"/>
      <c r="O39" s="176"/>
      <c r="P39" s="109"/>
      <c r="Q39" s="174"/>
      <c r="R39" s="109">
        <f t="shared" si="5"/>
        <v>0</v>
      </c>
      <c r="S39" s="176"/>
      <c r="T39" s="176"/>
      <c r="U39" s="110"/>
      <c r="V39" s="177"/>
      <c r="W39" s="109">
        <f>SUM(X39:Y39)</f>
        <v>0</v>
      </c>
      <c r="X39" s="176"/>
      <c r="Y39" s="176"/>
      <c r="Z39" s="109"/>
      <c r="AA39" s="177"/>
      <c r="AB39" s="109">
        <f>SUM(AC39:AD39)</f>
        <v>0</v>
      </c>
      <c r="AC39" s="176"/>
      <c r="AD39" s="176"/>
      <c r="AE39" s="110"/>
      <c r="AF39" s="177">
        <v>120</v>
      </c>
      <c r="AG39" s="109">
        <f t="shared" si="10"/>
        <v>60</v>
      </c>
      <c r="AH39" s="176">
        <v>12</v>
      </c>
      <c r="AI39" s="176">
        <v>48</v>
      </c>
      <c r="AJ39" s="109">
        <v>3</v>
      </c>
      <c r="AK39" s="177"/>
      <c r="AL39" s="109">
        <f>SUM(AM39:AN39)</f>
        <v>0</v>
      </c>
      <c r="AM39" s="176"/>
      <c r="AN39" s="176"/>
      <c r="AO39" s="110"/>
      <c r="AP39" s="177"/>
      <c r="AQ39" s="174"/>
      <c r="AR39" s="176"/>
      <c r="AS39" s="176"/>
      <c r="AT39" s="109"/>
      <c r="AU39" s="174"/>
      <c r="AV39" s="99"/>
      <c r="AW39" s="176"/>
      <c r="AX39" s="176"/>
      <c r="AY39" s="110"/>
      <c r="AZ39" s="177"/>
      <c r="BA39" s="174"/>
      <c r="BB39" s="176"/>
      <c r="BC39" s="176"/>
      <c r="BD39" s="109"/>
      <c r="BE39" s="174"/>
      <c r="BF39" s="174"/>
      <c r="BG39" s="176"/>
      <c r="BH39" s="176"/>
      <c r="BI39" s="110"/>
      <c r="BJ39" s="177"/>
      <c r="BK39" s="174"/>
      <c r="BL39" s="176"/>
      <c r="BM39" s="176"/>
      <c r="BN39" s="109"/>
      <c r="BO39" s="177"/>
      <c r="BP39" s="174"/>
      <c r="BQ39" s="176"/>
      <c r="BR39" s="176"/>
      <c r="BS39" s="110"/>
      <c r="BT39" s="167">
        <f t="shared" si="6"/>
        <v>3</v>
      </c>
      <c r="BU39" s="156" t="s">
        <v>321</v>
      </c>
      <c r="BV39" s="66"/>
      <c r="BW39" s="66"/>
      <c r="BX39" s="85"/>
      <c r="BY39" s="85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</row>
    <row r="40" spans="2:131" ht="58.5" outlineLevel="1">
      <c r="B40" s="178" t="s">
        <v>188</v>
      </c>
      <c r="C40" s="179" t="s">
        <v>354</v>
      </c>
      <c r="D40" s="180"/>
      <c r="E40" s="181"/>
      <c r="F40" s="182"/>
      <c r="G40" s="241"/>
      <c r="H40" s="182"/>
      <c r="I40" s="183"/>
      <c r="J40" s="183"/>
      <c r="K40" s="184"/>
      <c r="L40" s="182"/>
      <c r="M40" s="117"/>
      <c r="N40" s="185"/>
      <c r="O40" s="185"/>
      <c r="P40" s="183"/>
      <c r="Q40" s="186"/>
      <c r="R40" s="117"/>
      <c r="S40" s="185"/>
      <c r="T40" s="185"/>
      <c r="U40" s="184"/>
      <c r="V40" s="186"/>
      <c r="W40" s="117"/>
      <c r="X40" s="185"/>
      <c r="Y40" s="185"/>
      <c r="Z40" s="183"/>
      <c r="AA40" s="186"/>
      <c r="AB40" s="183"/>
      <c r="AC40" s="185"/>
      <c r="AD40" s="185"/>
      <c r="AE40" s="184"/>
      <c r="AF40" s="186"/>
      <c r="AG40" s="183"/>
      <c r="AH40" s="185"/>
      <c r="AI40" s="185"/>
      <c r="AJ40" s="183"/>
      <c r="AK40" s="183"/>
      <c r="AL40" s="183"/>
      <c r="AM40" s="185"/>
      <c r="AN40" s="185"/>
      <c r="AO40" s="241"/>
      <c r="AP40" s="182"/>
      <c r="AQ40" s="183"/>
      <c r="AR40" s="185"/>
      <c r="AS40" s="185"/>
      <c r="AT40" s="183"/>
      <c r="AU40" s="183"/>
      <c r="AV40" s="146"/>
      <c r="AW40" s="185"/>
      <c r="AX40" s="185"/>
      <c r="AY40" s="184"/>
      <c r="AZ40" s="186"/>
      <c r="BA40" s="183"/>
      <c r="BB40" s="185"/>
      <c r="BC40" s="185"/>
      <c r="BD40" s="183"/>
      <c r="BE40" s="183"/>
      <c r="BF40" s="183"/>
      <c r="BG40" s="185"/>
      <c r="BH40" s="185"/>
      <c r="BI40" s="241"/>
      <c r="BJ40" s="182"/>
      <c r="BK40" s="183"/>
      <c r="BL40" s="185"/>
      <c r="BM40" s="185"/>
      <c r="BN40" s="183"/>
      <c r="BO40" s="183"/>
      <c r="BP40" s="183"/>
      <c r="BQ40" s="185"/>
      <c r="BR40" s="185"/>
      <c r="BS40" s="184"/>
      <c r="BT40" s="121"/>
      <c r="BU40" s="187"/>
      <c r="BV40" s="69">
        <f>SUM(BT41:BT43)</f>
        <v>18</v>
      </c>
      <c r="BW40" s="66"/>
      <c r="BX40" s="85"/>
      <c r="BY40" s="85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</row>
    <row r="41" spans="2:131" ht="46.5" customHeight="1" outlineLevel="1">
      <c r="B41" s="170" t="s">
        <v>204</v>
      </c>
      <c r="C41" s="153" t="s">
        <v>126</v>
      </c>
      <c r="D41" s="104">
        <v>6</v>
      </c>
      <c r="E41" s="105">
        <v>5</v>
      </c>
      <c r="F41" s="107">
        <f>SUM(L41,Q41,V41,AA41,AF41,AK41,AP41,AU41,AZ41,BE41,BJ41,BO41)</f>
        <v>216</v>
      </c>
      <c r="G41" s="108">
        <f>SUM(H41:K41)</f>
        <v>90</v>
      </c>
      <c r="H41" s="107">
        <f aca="true" t="shared" si="11" ref="H41:I43">SUM(N41,S41,X41,AC41,AH41,AM41,AR41,AW41,BB41,BG41,BL41,BQ41)</f>
        <v>18</v>
      </c>
      <c r="I41" s="109">
        <f t="shared" si="11"/>
        <v>72</v>
      </c>
      <c r="J41" s="109"/>
      <c r="K41" s="110"/>
      <c r="L41" s="107"/>
      <c r="M41" s="109">
        <f t="shared" si="4"/>
        <v>0</v>
      </c>
      <c r="N41" s="111"/>
      <c r="O41" s="111"/>
      <c r="P41" s="109"/>
      <c r="Q41" s="109"/>
      <c r="R41" s="109">
        <f t="shared" si="5"/>
        <v>0</v>
      </c>
      <c r="S41" s="111"/>
      <c r="T41" s="111"/>
      <c r="U41" s="110"/>
      <c r="V41" s="112">
        <f>W41*1.4</f>
        <v>0</v>
      </c>
      <c r="W41" s="109">
        <f>SUM(X41:Y41)</f>
        <v>0</v>
      </c>
      <c r="X41" s="111"/>
      <c r="Y41" s="111"/>
      <c r="Z41" s="109">
        <f>V41/36</f>
        <v>0</v>
      </c>
      <c r="AA41" s="112">
        <f>AB41*1.4</f>
        <v>0</v>
      </c>
      <c r="AB41" s="197">
        <f>SUM(AC41:AD41)</f>
        <v>0</v>
      </c>
      <c r="AC41" s="111"/>
      <c r="AD41" s="111"/>
      <c r="AE41" s="110">
        <f>AA41/36</f>
        <v>0</v>
      </c>
      <c r="AF41" s="112">
        <v>108</v>
      </c>
      <c r="AG41" s="109">
        <f aca="true" t="shared" si="12" ref="AG41:AG76">SUM(AH41:AI41)</f>
        <v>46</v>
      </c>
      <c r="AH41" s="111">
        <v>10</v>
      </c>
      <c r="AI41" s="111">
        <v>36</v>
      </c>
      <c r="AJ41" s="109">
        <v>3</v>
      </c>
      <c r="AK41" s="109">
        <v>108</v>
      </c>
      <c r="AL41" s="109">
        <f aca="true" t="shared" si="13" ref="AL41:AL76">SUM(AM41:AN41)</f>
        <v>44</v>
      </c>
      <c r="AM41" s="111">
        <v>8</v>
      </c>
      <c r="AN41" s="111">
        <v>36</v>
      </c>
      <c r="AO41" s="108">
        <v>3</v>
      </c>
      <c r="AP41" s="107"/>
      <c r="AQ41" s="109">
        <f>SUM(AR41:AS41)</f>
        <v>0</v>
      </c>
      <c r="AR41" s="111"/>
      <c r="AS41" s="111"/>
      <c r="AT41" s="109"/>
      <c r="AU41" s="109"/>
      <c r="AV41" s="99"/>
      <c r="AW41" s="111"/>
      <c r="AX41" s="111"/>
      <c r="AY41" s="110"/>
      <c r="AZ41" s="112"/>
      <c r="BA41" s="109"/>
      <c r="BB41" s="111"/>
      <c r="BC41" s="111"/>
      <c r="BD41" s="109"/>
      <c r="BE41" s="109"/>
      <c r="BF41" s="109"/>
      <c r="BG41" s="111"/>
      <c r="BH41" s="111"/>
      <c r="BI41" s="108"/>
      <c r="BJ41" s="107"/>
      <c r="BK41" s="109"/>
      <c r="BL41" s="111"/>
      <c r="BM41" s="111"/>
      <c r="BN41" s="109"/>
      <c r="BO41" s="109"/>
      <c r="BP41" s="109"/>
      <c r="BQ41" s="111"/>
      <c r="BR41" s="111"/>
      <c r="BS41" s="110"/>
      <c r="BT41" s="167">
        <f t="shared" si="6"/>
        <v>6</v>
      </c>
      <c r="BU41" s="156" t="s">
        <v>322</v>
      </c>
      <c r="BV41" s="66"/>
      <c r="BW41" s="66"/>
      <c r="BX41" s="85"/>
      <c r="BY41" s="85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</row>
    <row r="42" spans="2:131" ht="43.5" customHeight="1" outlineLevel="1">
      <c r="B42" s="170" t="s">
        <v>482</v>
      </c>
      <c r="C42" s="153" t="s">
        <v>70</v>
      </c>
      <c r="D42" s="104">
        <v>6</v>
      </c>
      <c r="E42" s="105">
        <v>5</v>
      </c>
      <c r="F42" s="107">
        <f>SUM(L42,Q42,V42,AA42,AF42,AK42,AP42,AU42,AZ42,BE42,BJ42,BO42)</f>
        <v>216</v>
      </c>
      <c r="G42" s="108">
        <f>SUM(H42:K42)</f>
        <v>90</v>
      </c>
      <c r="H42" s="107">
        <f t="shared" si="11"/>
        <v>18</v>
      </c>
      <c r="I42" s="109">
        <f t="shared" si="11"/>
        <v>72</v>
      </c>
      <c r="J42" s="109"/>
      <c r="K42" s="110"/>
      <c r="L42" s="107"/>
      <c r="M42" s="109">
        <f t="shared" si="4"/>
        <v>0</v>
      </c>
      <c r="N42" s="111"/>
      <c r="O42" s="111"/>
      <c r="P42" s="109"/>
      <c r="Q42" s="109"/>
      <c r="R42" s="109">
        <f t="shared" si="5"/>
        <v>0</v>
      </c>
      <c r="S42" s="111"/>
      <c r="T42" s="111"/>
      <c r="U42" s="110"/>
      <c r="V42" s="112">
        <f>W42*1.4</f>
        <v>0</v>
      </c>
      <c r="W42" s="109">
        <f>SUM(X42:Y42)</f>
        <v>0</v>
      </c>
      <c r="X42" s="111"/>
      <c r="Y42" s="111"/>
      <c r="Z42" s="109">
        <f>V42/36</f>
        <v>0</v>
      </c>
      <c r="AA42" s="112">
        <f>AB42*1.4</f>
        <v>0</v>
      </c>
      <c r="AB42" s="197">
        <f>SUM(AC42:AD42)</f>
        <v>0</v>
      </c>
      <c r="AC42" s="111"/>
      <c r="AD42" s="111"/>
      <c r="AE42" s="110">
        <f>AA42/36</f>
        <v>0</v>
      </c>
      <c r="AF42" s="112">
        <v>108</v>
      </c>
      <c r="AG42" s="109">
        <f t="shared" si="12"/>
        <v>54</v>
      </c>
      <c r="AH42" s="111">
        <v>12</v>
      </c>
      <c r="AI42" s="111">
        <v>42</v>
      </c>
      <c r="AJ42" s="109">
        <v>3</v>
      </c>
      <c r="AK42" s="109">
        <v>108</v>
      </c>
      <c r="AL42" s="109">
        <f t="shared" si="13"/>
        <v>36</v>
      </c>
      <c r="AM42" s="111">
        <v>6</v>
      </c>
      <c r="AN42" s="111">
        <v>30</v>
      </c>
      <c r="AO42" s="108">
        <v>3</v>
      </c>
      <c r="AP42" s="107"/>
      <c r="AQ42" s="109"/>
      <c r="AR42" s="111"/>
      <c r="AS42" s="111"/>
      <c r="AT42" s="109"/>
      <c r="AU42" s="109"/>
      <c r="AV42" s="99"/>
      <c r="AW42" s="111"/>
      <c r="AX42" s="111"/>
      <c r="AY42" s="110"/>
      <c r="AZ42" s="112"/>
      <c r="BA42" s="109"/>
      <c r="BB42" s="111"/>
      <c r="BC42" s="111"/>
      <c r="BD42" s="109"/>
      <c r="BE42" s="109"/>
      <c r="BF42" s="109"/>
      <c r="BG42" s="111"/>
      <c r="BH42" s="111"/>
      <c r="BI42" s="108"/>
      <c r="BJ42" s="107"/>
      <c r="BK42" s="109"/>
      <c r="BL42" s="111"/>
      <c r="BM42" s="111"/>
      <c r="BN42" s="109"/>
      <c r="BO42" s="109"/>
      <c r="BP42" s="109"/>
      <c r="BQ42" s="111"/>
      <c r="BR42" s="111"/>
      <c r="BS42" s="110"/>
      <c r="BT42" s="167">
        <f t="shared" si="6"/>
        <v>6</v>
      </c>
      <c r="BU42" s="156" t="s">
        <v>364</v>
      </c>
      <c r="BV42" s="66"/>
      <c r="BW42" s="66"/>
      <c r="BX42" s="85"/>
      <c r="BY42" s="85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</row>
    <row r="43" spans="2:131" ht="24.75" customHeight="1" outlineLevel="1">
      <c r="B43" s="170" t="s">
        <v>483</v>
      </c>
      <c r="C43" s="153" t="s">
        <v>75</v>
      </c>
      <c r="D43" s="104">
        <v>6</v>
      </c>
      <c r="E43" s="105">
        <v>5</v>
      </c>
      <c r="F43" s="107">
        <f>SUM(L43,Q43,V43,AA43,AF43,AK43,AP43,AU43,AZ43,BE43,BJ43,BO43)</f>
        <v>208</v>
      </c>
      <c r="G43" s="108">
        <f>SUM(H43:K43)</f>
        <v>105</v>
      </c>
      <c r="H43" s="107">
        <f t="shared" si="11"/>
        <v>18</v>
      </c>
      <c r="I43" s="109">
        <f t="shared" si="11"/>
        <v>87</v>
      </c>
      <c r="J43" s="109"/>
      <c r="K43" s="110"/>
      <c r="L43" s="107"/>
      <c r="M43" s="109">
        <f t="shared" si="4"/>
        <v>0</v>
      </c>
      <c r="N43" s="111"/>
      <c r="O43" s="111"/>
      <c r="P43" s="109"/>
      <c r="Q43" s="109"/>
      <c r="R43" s="109">
        <f t="shared" si="5"/>
        <v>0</v>
      </c>
      <c r="S43" s="111"/>
      <c r="T43" s="111"/>
      <c r="U43" s="110"/>
      <c r="V43" s="112"/>
      <c r="W43" s="109">
        <f>SUM(X43:Y43)</f>
        <v>0</v>
      </c>
      <c r="X43" s="111"/>
      <c r="Y43" s="111"/>
      <c r="Z43" s="109"/>
      <c r="AA43" s="109">
        <f>AB43*1.4</f>
        <v>0</v>
      </c>
      <c r="AB43" s="109">
        <f>SUM(AC43:AD43)</f>
        <v>0</v>
      </c>
      <c r="AC43" s="111"/>
      <c r="AD43" s="111"/>
      <c r="AE43" s="110">
        <f>AA43/36</f>
        <v>0</v>
      </c>
      <c r="AF43" s="112">
        <v>100</v>
      </c>
      <c r="AG43" s="109">
        <f t="shared" si="12"/>
        <v>55</v>
      </c>
      <c r="AH43" s="111">
        <v>10</v>
      </c>
      <c r="AI43" s="111">
        <v>45</v>
      </c>
      <c r="AJ43" s="109">
        <v>3</v>
      </c>
      <c r="AK43" s="109">
        <v>108</v>
      </c>
      <c r="AL43" s="109">
        <f t="shared" si="13"/>
        <v>50</v>
      </c>
      <c r="AM43" s="111">
        <v>8</v>
      </c>
      <c r="AN43" s="111">
        <v>42</v>
      </c>
      <c r="AO43" s="108">
        <v>3</v>
      </c>
      <c r="AP43" s="107"/>
      <c r="AQ43" s="109"/>
      <c r="AR43" s="111"/>
      <c r="AS43" s="111"/>
      <c r="AT43" s="109"/>
      <c r="AU43" s="109"/>
      <c r="AV43" s="99"/>
      <c r="AW43" s="111"/>
      <c r="AX43" s="111"/>
      <c r="AY43" s="110"/>
      <c r="AZ43" s="112"/>
      <c r="BA43" s="109"/>
      <c r="BB43" s="111"/>
      <c r="BC43" s="111"/>
      <c r="BD43" s="109"/>
      <c r="BE43" s="109"/>
      <c r="BF43" s="109"/>
      <c r="BG43" s="111"/>
      <c r="BH43" s="111"/>
      <c r="BI43" s="108"/>
      <c r="BJ43" s="107"/>
      <c r="BK43" s="109"/>
      <c r="BL43" s="111"/>
      <c r="BM43" s="111"/>
      <c r="BN43" s="109"/>
      <c r="BO43" s="109"/>
      <c r="BP43" s="109"/>
      <c r="BQ43" s="111"/>
      <c r="BR43" s="111"/>
      <c r="BS43" s="110"/>
      <c r="BT43" s="167">
        <f t="shared" si="6"/>
        <v>6</v>
      </c>
      <c r="BU43" s="156" t="s">
        <v>365</v>
      </c>
      <c r="BV43" s="66"/>
      <c r="BW43" s="66"/>
      <c r="BX43" s="85"/>
      <c r="BY43" s="85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</row>
    <row r="44" spans="2:131" ht="39" outlineLevel="1">
      <c r="B44" s="188" t="s">
        <v>343</v>
      </c>
      <c r="C44" s="200" t="s">
        <v>356</v>
      </c>
      <c r="D44" s="201"/>
      <c r="E44" s="190"/>
      <c r="F44" s="115"/>
      <c r="G44" s="202"/>
      <c r="H44" s="203"/>
      <c r="I44" s="193"/>
      <c r="J44" s="193"/>
      <c r="K44" s="205"/>
      <c r="L44" s="115"/>
      <c r="M44" s="117"/>
      <c r="N44" s="206"/>
      <c r="O44" s="206"/>
      <c r="P44" s="117"/>
      <c r="Q44" s="120"/>
      <c r="R44" s="117"/>
      <c r="S44" s="206"/>
      <c r="T44" s="206"/>
      <c r="U44" s="118"/>
      <c r="V44" s="120"/>
      <c r="W44" s="117"/>
      <c r="X44" s="206"/>
      <c r="Y44" s="206"/>
      <c r="Z44" s="117"/>
      <c r="AA44" s="193"/>
      <c r="AB44" s="183"/>
      <c r="AC44" s="206"/>
      <c r="AD44" s="206"/>
      <c r="AE44" s="118"/>
      <c r="AF44" s="204"/>
      <c r="AG44" s="117"/>
      <c r="AH44" s="206"/>
      <c r="AI44" s="206"/>
      <c r="AJ44" s="117"/>
      <c r="AK44" s="193"/>
      <c r="AL44" s="117"/>
      <c r="AM44" s="206"/>
      <c r="AN44" s="206"/>
      <c r="AO44" s="118"/>
      <c r="AP44" s="204"/>
      <c r="AQ44" s="193"/>
      <c r="AR44" s="206"/>
      <c r="AS44" s="206"/>
      <c r="AT44" s="117"/>
      <c r="AU44" s="193"/>
      <c r="AV44" s="146"/>
      <c r="AW44" s="206"/>
      <c r="AX44" s="206"/>
      <c r="AY44" s="118"/>
      <c r="AZ44" s="204"/>
      <c r="BA44" s="193"/>
      <c r="BB44" s="206"/>
      <c r="BC44" s="206"/>
      <c r="BD44" s="117"/>
      <c r="BE44" s="193"/>
      <c r="BF44" s="193"/>
      <c r="BG44" s="206"/>
      <c r="BH44" s="206"/>
      <c r="BI44" s="118"/>
      <c r="BJ44" s="204"/>
      <c r="BK44" s="193"/>
      <c r="BL44" s="206"/>
      <c r="BM44" s="206"/>
      <c r="BN44" s="117"/>
      <c r="BO44" s="204"/>
      <c r="BP44" s="193"/>
      <c r="BQ44" s="206"/>
      <c r="BR44" s="206"/>
      <c r="BS44" s="118"/>
      <c r="BT44" s="121"/>
      <c r="BU44" s="151"/>
      <c r="BV44" s="66"/>
      <c r="BW44" s="66"/>
      <c r="BX44" s="85"/>
      <c r="BY44" s="85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</row>
    <row r="45" spans="2:131" ht="63.75" customHeight="1" outlineLevel="1">
      <c r="B45" s="170" t="s">
        <v>344</v>
      </c>
      <c r="C45" s="153" t="s">
        <v>71</v>
      </c>
      <c r="D45" s="171"/>
      <c r="E45" s="195" t="s">
        <v>219</v>
      </c>
      <c r="F45" s="107">
        <f>SUM(L45,Q45,V45,AA45,AF45,AK45,AP45,AU45,AZ45,BE45,BJ45,BO45)</f>
        <v>120</v>
      </c>
      <c r="G45" s="196">
        <f>SUM(H45:K45)</f>
        <v>63</v>
      </c>
      <c r="H45" s="172">
        <f>SUM(N45,S45,X45,AC45,AH45,AM45,AR45,AW45,BB45,BG45,BL45,BQ45)</f>
        <v>12</v>
      </c>
      <c r="I45" s="174">
        <f>SUM(O45,T45,Y45,AD45,AI45,AN45,AS45,AX45,BC45,BH45,BM45,BR45)</f>
        <v>51</v>
      </c>
      <c r="J45" s="174"/>
      <c r="K45" s="175"/>
      <c r="L45" s="172"/>
      <c r="M45" s="109">
        <f>SUM(N45:O45)</f>
        <v>0</v>
      </c>
      <c r="N45" s="176"/>
      <c r="O45" s="176"/>
      <c r="P45" s="109"/>
      <c r="Q45" s="174"/>
      <c r="R45" s="109">
        <f>SUM(S45:T45)</f>
        <v>0</v>
      </c>
      <c r="S45" s="176"/>
      <c r="T45" s="176"/>
      <c r="U45" s="110"/>
      <c r="V45" s="177"/>
      <c r="W45" s="109">
        <f>SUM(X45:Y45)</f>
        <v>0</v>
      </c>
      <c r="X45" s="176"/>
      <c r="Y45" s="176"/>
      <c r="Z45" s="109"/>
      <c r="AA45" s="174"/>
      <c r="AB45" s="109">
        <f>SUM(AC45:AD45)</f>
        <v>0</v>
      </c>
      <c r="AC45" s="176"/>
      <c r="AD45" s="176"/>
      <c r="AE45" s="110"/>
      <c r="AF45" s="112"/>
      <c r="AG45" s="109">
        <f>SUM(AH45:AI45)</f>
        <v>0</v>
      </c>
      <c r="AH45" s="176"/>
      <c r="AI45" s="176"/>
      <c r="AJ45" s="109"/>
      <c r="AK45" s="109">
        <v>120</v>
      </c>
      <c r="AL45" s="109">
        <f>SUM(AM45:AN45)</f>
        <v>63</v>
      </c>
      <c r="AM45" s="176">
        <v>12</v>
      </c>
      <c r="AN45" s="176">
        <v>51</v>
      </c>
      <c r="AO45" s="110">
        <v>3</v>
      </c>
      <c r="AP45" s="112"/>
      <c r="AQ45" s="174"/>
      <c r="AR45" s="176"/>
      <c r="AS45" s="176"/>
      <c r="AT45" s="109"/>
      <c r="AU45" s="109"/>
      <c r="AV45" s="99"/>
      <c r="AW45" s="176"/>
      <c r="AX45" s="176"/>
      <c r="AY45" s="110"/>
      <c r="AZ45" s="177"/>
      <c r="BA45" s="174"/>
      <c r="BB45" s="176"/>
      <c r="BC45" s="176"/>
      <c r="BD45" s="109"/>
      <c r="BE45" s="174"/>
      <c r="BF45" s="174"/>
      <c r="BG45" s="176"/>
      <c r="BH45" s="176"/>
      <c r="BI45" s="110"/>
      <c r="BJ45" s="177"/>
      <c r="BK45" s="174"/>
      <c r="BL45" s="176"/>
      <c r="BM45" s="176"/>
      <c r="BN45" s="109"/>
      <c r="BO45" s="177"/>
      <c r="BP45" s="174"/>
      <c r="BQ45" s="176"/>
      <c r="BR45" s="176"/>
      <c r="BS45" s="110"/>
      <c r="BT45" s="167">
        <f>SUM(P45,U45,Z45,AE45,AJ45,AO45,AT45,AY45,BD45,BI45,BN45,BS45)</f>
        <v>3</v>
      </c>
      <c r="BU45" s="156" t="s">
        <v>366</v>
      </c>
      <c r="BV45" s="66"/>
      <c r="BW45" s="66"/>
      <c r="BX45" s="85"/>
      <c r="BY45" s="85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</row>
    <row r="46" spans="2:131" ht="58.5" outlineLevel="1">
      <c r="B46" s="188" t="s">
        <v>631</v>
      </c>
      <c r="C46" s="200" t="s">
        <v>238</v>
      </c>
      <c r="D46" s="113"/>
      <c r="E46" s="114"/>
      <c r="F46" s="115"/>
      <c r="G46" s="202"/>
      <c r="H46" s="203"/>
      <c r="I46" s="232"/>
      <c r="J46" s="193"/>
      <c r="K46" s="205"/>
      <c r="L46" s="115"/>
      <c r="M46" s="117"/>
      <c r="N46" s="119"/>
      <c r="O46" s="119"/>
      <c r="P46" s="117"/>
      <c r="Q46" s="120"/>
      <c r="R46" s="117"/>
      <c r="S46" s="119"/>
      <c r="T46" s="119"/>
      <c r="U46" s="118"/>
      <c r="V46" s="120"/>
      <c r="W46" s="117"/>
      <c r="X46" s="119"/>
      <c r="Y46" s="119"/>
      <c r="Z46" s="117"/>
      <c r="AA46" s="117"/>
      <c r="AB46" s="117"/>
      <c r="AC46" s="119"/>
      <c r="AD46" s="119"/>
      <c r="AE46" s="118"/>
      <c r="AF46" s="120"/>
      <c r="AG46" s="117"/>
      <c r="AH46" s="119"/>
      <c r="AI46" s="119"/>
      <c r="AJ46" s="117"/>
      <c r="AK46" s="193"/>
      <c r="AL46" s="117"/>
      <c r="AM46" s="206"/>
      <c r="AN46" s="206"/>
      <c r="AO46" s="118"/>
      <c r="AP46" s="233"/>
      <c r="AQ46" s="117"/>
      <c r="AR46" s="234"/>
      <c r="AS46" s="234"/>
      <c r="AT46" s="235"/>
      <c r="AU46" s="234"/>
      <c r="AV46" s="117"/>
      <c r="AW46" s="234"/>
      <c r="AX46" s="234"/>
      <c r="AY46" s="236"/>
      <c r="AZ46" s="120"/>
      <c r="BA46" s="117"/>
      <c r="BB46" s="119"/>
      <c r="BC46" s="119"/>
      <c r="BD46" s="117"/>
      <c r="BE46" s="117"/>
      <c r="BF46" s="117"/>
      <c r="BG46" s="119"/>
      <c r="BH46" s="119"/>
      <c r="BI46" s="118"/>
      <c r="BJ46" s="120"/>
      <c r="BK46" s="117"/>
      <c r="BL46" s="119"/>
      <c r="BM46" s="119"/>
      <c r="BN46" s="117"/>
      <c r="BO46" s="120"/>
      <c r="BP46" s="117"/>
      <c r="BQ46" s="119"/>
      <c r="BR46" s="119"/>
      <c r="BS46" s="118"/>
      <c r="BT46" s="121"/>
      <c r="BU46" s="151"/>
      <c r="BV46" s="66"/>
      <c r="BW46" s="66"/>
      <c r="BX46" s="85"/>
      <c r="BY46" s="85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</row>
    <row r="47" spans="2:131" ht="43.5" customHeight="1" outlineLevel="1">
      <c r="B47" s="170" t="s">
        <v>632</v>
      </c>
      <c r="C47" s="153" t="s">
        <v>239</v>
      </c>
      <c r="D47" s="104">
        <v>10</v>
      </c>
      <c r="E47" s="105" t="s">
        <v>551</v>
      </c>
      <c r="F47" s="107">
        <f>SUM(L47,Q47,V47,AA47,AF47,AK47,AP47,AU47,AZ47,BE47,BJ47,BO47)</f>
        <v>416</v>
      </c>
      <c r="G47" s="196">
        <f>SUM(H47:K47)</f>
        <v>220</v>
      </c>
      <c r="H47" s="172">
        <f>SUM(N47,S47,X47,AC47,AH47,AM47,AR47,AW47,BB47,BG47,BL47,BQ47)</f>
        <v>22</v>
      </c>
      <c r="I47" s="173"/>
      <c r="J47" s="174">
        <f>SUM(O47,T47,Y47,AD47,AI47,AN47,AS47,AX47,BC47,BH47,BM47,BR47)</f>
        <v>198</v>
      </c>
      <c r="K47" s="175"/>
      <c r="L47" s="107"/>
      <c r="M47" s="109">
        <f>SUM(N47:O47)</f>
        <v>0</v>
      </c>
      <c r="N47" s="111"/>
      <c r="O47" s="111"/>
      <c r="P47" s="109"/>
      <c r="Q47" s="112"/>
      <c r="R47" s="109">
        <f>SUM(S47:T47)</f>
        <v>0</v>
      </c>
      <c r="S47" s="111"/>
      <c r="T47" s="111"/>
      <c r="U47" s="110"/>
      <c r="V47" s="112"/>
      <c r="W47" s="109">
        <f>SUM(X47:Y47)</f>
        <v>0</v>
      </c>
      <c r="X47" s="111"/>
      <c r="Y47" s="111"/>
      <c r="Z47" s="109"/>
      <c r="AA47" s="109"/>
      <c r="AB47" s="109">
        <f>SUM(AC47:AD47)</f>
        <v>0</v>
      </c>
      <c r="AC47" s="111"/>
      <c r="AD47" s="111"/>
      <c r="AE47" s="110"/>
      <c r="AF47" s="112"/>
      <c r="AG47" s="109">
        <f>SUM(AH47:AI47)</f>
        <v>0</v>
      </c>
      <c r="AH47" s="111"/>
      <c r="AI47" s="111"/>
      <c r="AJ47" s="109"/>
      <c r="AK47" s="174"/>
      <c r="AL47" s="109">
        <f>SUM(AM47:AN47)</f>
        <v>0</v>
      </c>
      <c r="AM47" s="176"/>
      <c r="AN47" s="176"/>
      <c r="AO47" s="110"/>
      <c r="AP47" s="237"/>
      <c r="AQ47" s="109">
        <f>SUM(AR47:AS47)</f>
        <v>0</v>
      </c>
      <c r="AR47" s="238"/>
      <c r="AS47" s="238"/>
      <c r="AT47" s="239"/>
      <c r="AU47" s="238"/>
      <c r="AV47" s="109">
        <f>SUM(AW47:AX47)</f>
        <v>0</v>
      </c>
      <c r="AW47" s="238"/>
      <c r="AX47" s="238"/>
      <c r="AY47" s="240"/>
      <c r="AZ47" s="112"/>
      <c r="BA47" s="109">
        <f>SUM(BB47:BC47)</f>
        <v>0</v>
      </c>
      <c r="BB47" s="111"/>
      <c r="BC47" s="111"/>
      <c r="BD47" s="109"/>
      <c r="BE47" s="109">
        <v>136</v>
      </c>
      <c r="BF47" s="109">
        <f>SUM(BG47:BH47)</f>
        <v>70</v>
      </c>
      <c r="BG47" s="111">
        <v>10</v>
      </c>
      <c r="BH47" s="111">
        <v>60</v>
      </c>
      <c r="BI47" s="110">
        <v>3</v>
      </c>
      <c r="BJ47" s="112">
        <v>90</v>
      </c>
      <c r="BK47" s="109">
        <f>SUM(BL47:BM47)</f>
        <v>40</v>
      </c>
      <c r="BL47" s="111">
        <v>4</v>
      </c>
      <c r="BM47" s="111">
        <v>36</v>
      </c>
      <c r="BN47" s="109">
        <v>3</v>
      </c>
      <c r="BO47" s="112">
        <v>190</v>
      </c>
      <c r="BP47" s="109">
        <f>SUM(BQ47:BR47)</f>
        <v>110</v>
      </c>
      <c r="BQ47" s="111">
        <v>8</v>
      </c>
      <c r="BR47" s="111">
        <v>102</v>
      </c>
      <c r="BS47" s="110">
        <v>6</v>
      </c>
      <c r="BT47" s="167">
        <f>SUM(P47,U47,Z47,AE47,AJ47,AO47,AT47,AY47,BD47,BI47,BN47,BS47)</f>
        <v>12</v>
      </c>
      <c r="BU47" s="156" t="s">
        <v>652</v>
      </c>
      <c r="BV47" s="66"/>
      <c r="BW47" s="66"/>
      <c r="BX47" s="85"/>
      <c r="BY47" s="85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</row>
    <row r="48" spans="2:131" ht="48" customHeight="1" outlineLevel="1">
      <c r="B48" s="170" t="s">
        <v>633</v>
      </c>
      <c r="C48" s="153" t="s">
        <v>336</v>
      </c>
      <c r="D48" s="104"/>
      <c r="E48" s="105">
        <v>11</v>
      </c>
      <c r="F48" s="107">
        <f>SUM(L48,Q48,V48,AA48,AF48,AK48,AP48,AU48,AZ48,BE48,BJ48,BO48)</f>
        <v>108</v>
      </c>
      <c r="G48" s="196">
        <f>SUM(H48:K48)</f>
        <v>72</v>
      </c>
      <c r="H48" s="172">
        <f>SUM(N48,S48,X48,AC48,AH48,AM48,AR48,AW48,BB48,BG48,BL48,BQ48)</f>
        <v>12</v>
      </c>
      <c r="I48" s="173"/>
      <c r="J48" s="174">
        <f>SUM(O48,T48,Y48,AD48,AI48,AN48,AS48,AX48,BC48,BH48,BM48,BR48)</f>
        <v>60</v>
      </c>
      <c r="K48" s="175"/>
      <c r="L48" s="107"/>
      <c r="M48" s="109">
        <f>SUM(N48:O48)</f>
        <v>0</v>
      </c>
      <c r="N48" s="111"/>
      <c r="O48" s="111"/>
      <c r="P48" s="109"/>
      <c r="Q48" s="112"/>
      <c r="R48" s="109">
        <f>SUM(S48:T48)</f>
        <v>0</v>
      </c>
      <c r="S48" s="111"/>
      <c r="T48" s="111"/>
      <c r="U48" s="110"/>
      <c r="V48" s="112"/>
      <c r="W48" s="109">
        <f>SUM(X48:Y48)</f>
        <v>0</v>
      </c>
      <c r="X48" s="111"/>
      <c r="Y48" s="111"/>
      <c r="Z48" s="109"/>
      <c r="AA48" s="109"/>
      <c r="AB48" s="109">
        <f>SUM(AC48:AD48)</f>
        <v>0</v>
      </c>
      <c r="AC48" s="111"/>
      <c r="AD48" s="111"/>
      <c r="AE48" s="110"/>
      <c r="AF48" s="112"/>
      <c r="AG48" s="109">
        <f>SUM(AH48:AI48)</f>
        <v>0</v>
      </c>
      <c r="AH48" s="111"/>
      <c r="AI48" s="111"/>
      <c r="AJ48" s="109"/>
      <c r="AK48" s="174"/>
      <c r="AL48" s="109">
        <f>SUM(AM48:AN48)</f>
        <v>0</v>
      </c>
      <c r="AM48" s="176"/>
      <c r="AN48" s="176"/>
      <c r="AO48" s="110"/>
      <c r="AP48" s="237"/>
      <c r="AQ48" s="109">
        <f>SUM(AR48:AS48)</f>
        <v>0</v>
      </c>
      <c r="AR48" s="238"/>
      <c r="AS48" s="238"/>
      <c r="AT48" s="239"/>
      <c r="AU48" s="238"/>
      <c r="AV48" s="109">
        <f>SUM(AW48:AX48)</f>
        <v>0</v>
      </c>
      <c r="AW48" s="238"/>
      <c r="AX48" s="238"/>
      <c r="AY48" s="240"/>
      <c r="AZ48" s="112"/>
      <c r="BA48" s="109">
        <f>SUM(BB48:BC48)</f>
        <v>0</v>
      </c>
      <c r="BB48" s="111"/>
      <c r="BC48" s="111"/>
      <c r="BD48" s="109"/>
      <c r="BE48" s="109"/>
      <c r="BF48" s="109">
        <f>SUM(BG48:BH48)</f>
        <v>0</v>
      </c>
      <c r="BG48" s="111"/>
      <c r="BH48" s="111"/>
      <c r="BI48" s="110"/>
      <c r="BJ48" s="112">
        <v>108</v>
      </c>
      <c r="BK48" s="109">
        <f>SUM(BL48:BM48)</f>
        <v>72</v>
      </c>
      <c r="BL48" s="111">
        <v>12</v>
      </c>
      <c r="BM48" s="111">
        <v>60</v>
      </c>
      <c r="BN48" s="109">
        <v>3</v>
      </c>
      <c r="BO48" s="112"/>
      <c r="BP48" s="109">
        <f>SUM(BQ48:BR48)</f>
        <v>0</v>
      </c>
      <c r="BQ48" s="111"/>
      <c r="BR48" s="111"/>
      <c r="BS48" s="110"/>
      <c r="BT48" s="167">
        <f>SUM(P48,U48,Z48,AE48,AJ48,AO48,AT48,AY48,BD48,BI48,BN48,BS48)</f>
        <v>3</v>
      </c>
      <c r="BU48" s="156" t="s">
        <v>653</v>
      </c>
      <c r="BV48" s="66"/>
      <c r="BW48" s="66"/>
      <c r="BX48" s="85"/>
      <c r="BY48" s="85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</row>
    <row r="49" spans="2:131" ht="58.5" outlineLevel="1">
      <c r="B49" s="242" t="s">
        <v>60</v>
      </c>
      <c r="C49" s="243" t="s">
        <v>59</v>
      </c>
      <c r="D49" s="244"/>
      <c r="E49" s="245"/>
      <c r="F49" s="246">
        <f>SUM(F50:F121)</f>
        <v>7541</v>
      </c>
      <c r="G49" s="247">
        <f>SUM(G50:G121)</f>
        <v>3942</v>
      </c>
      <c r="H49" s="246">
        <f>SUM(H50:H121)</f>
        <v>740</v>
      </c>
      <c r="I49" s="248"/>
      <c r="J49" s="248">
        <f>SUM(J50:J121)</f>
        <v>3118</v>
      </c>
      <c r="K49" s="247">
        <f>SUM(K50:K121)</f>
        <v>84</v>
      </c>
      <c r="L49" s="246">
        <f>SUM(L50:L121)</f>
        <v>408</v>
      </c>
      <c r="M49" s="248">
        <f t="shared" si="4"/>
        <v>220</v>
      </c>
      <c r="N49" s="248">
        <f>SUM(N50:N121)</f>
        <v>70</v>
      </c>
      <c r="O49" s="248">
        <f>SUM(O50:O121)</f>
        <v>150</v>
      </c>
      <c r="P49" s="248">
        <f>SUM(P50:P121)</f>
        <v>11</v>
      </c>
      <c r="Q49" s="248">
        <f>SUM(Q50:Q121)</f>
        <v>180</v>
      </c>
      <c r="R49" s="248">
        <f t="shared" si="5"/>
        <v>80</v>
      </c>
      <c r="S49" s="248">
        <f>SUM(S50:S121)</f>
        <v>26</v>
      </c>
      <c r="T49" s="248">
        <f>SUM(T50:T121)</f>
        <v>54</v>
      </c>
      <c r="U49" s="247">
        <f>SUM(U50:U121)</f>
        <v>5</v>
      </c>
      <c r="V49" s="246">
        <f>SUM(V50:V121)</f>
        <v>180</v>
      </c>
      <c r="W49" s="248">
        <f aca="true" t="shared" si="14" ref="W49:W55">SUM(X49:Y49)</f>
        <v>100</v>
      </c>
      <c r="X49" s="248">
        <f>SUM(X50:X121)</f>
        <v>28</v>
      </c>
      <c r="Y49" s="248">
        <f>SUM(Y50:Y121)</f>
        <v>72</v>
      </c>
      <c r="Z49" s="248">
        <f>SUM(Z50:Z121)</f>
        <v>5</v>
      </c>
      <c r="AA49" s="248">
        <f>SUM(AA50:AA121)</f>
        <v>324</v>
      </c>
      <c r="AB49" s="248">
        <f>SUM(AC49:AD49)</f>
        <v>147</v>
      </c>
      <c r="AC49" s="248">
        <f>SUM(AC50:AC121)</f>
        <v>18</v>
      </c>
      <c r="AD49" s="248">
        <f>SUM(AD50:AD121)</f>
        <v>129</v>
      </c>
      <c r="AE49" s="247">
        <f>SUM(AE50:AE121)</f>
        <v>9</v>
      </c>
      <c r="AF49" s="246">
        <f>SUM(AF50:AF121)</f>
        <v>504</v>
      </c>
      <c r="AG49" s="248">
        <f t="shared" si="12"/>
        <v>298</v>
      </c>
      <c r="AH49" s="248">
        <f>SUM(AH50:AH121)</f>
        <v>54</v>
      </c>
      <c r="AI49" s="248">
        <f>SUM(AI50:AI121)</f>
        <v>244</v>
      </c>
      <c r="AJ49" s="248">
        <f>SUM(AJ50:AJ121)</f>
        <v>12</v>
      </c>
      <c r="AK49" s="248">
        <f>SUM(AK50:AK121)</f>
        <v>571</v>
      </c>
      <c r="AL49" s="248">
        <f t="shared" si="13"/>
        <v>307</v>
      </c>
      <c r="AM49" s="248">
        <f>SUM(AM50:AM121)</f>
        <v>74</v>
      </c>
      <c r="AN49" s="248">
        <f>SUM(AN50:AN121)</f>
        <v>233</v>
      </c>
      <c r="AO49" s="247">
        <f>SUM(AO50:AO121)</f>
        <v>15</v>
      </c>
      <c r="AP49" s="246">
        <f>SUM(AP50:AP121)</f>
        <v>1080</v>
      </c>
      <c r="AQ49" s="248">
        <f>SUM(AR49:AS49)</f>
        <v>600</v>
      </c>
      <c r="AR49" s="248">
        <f>SUM(AR50:AR121)</f>
        <v>102</v>
      </c>
      <c r="AS49" s="248">
        <f>SUM(AS50:AS121)</f>
        <v>498</v>
      </c>
      <c r="AT49" s="248">
        <f>SUM(AT50:AT121)</f>
        <v>25</v>
      </c>
      <c r="AU49" s="248">
        <f>SUM(AU50:AU121)</f>
        <v>1025</v>
      </c>
      <c r="AV49" s="248">
        <f aca="true" t="shared" si="15" ref="AV49:AV80">SUM(AW49:AX49)</f>
        <v>554</v>
      </c>
      <c r="AW49" s="248">
        <f>SUM(AW50:AW121)</f>
        <v>108</v>
      </c>
      <c r="AX49" s="248">
        <f>SUM(AX50:AX121)</f>
        <v>446</v>
      </c>
      <c r="AY49" s="247">
        <f>SUM(AY50:AY121)</f>
        <v>29</v>
      </c>
      <c r="AZ49" s="246">
        <f>SUM(AZ50:AZ121)</f>
        <v>1040</v>
      </c>
      <c r="BA49" s="248">
        <f aca="true" t="shared" si="16" ref="BA49:BA80">SUM(BB49:BC49)</f>
        <v>537</v>
      </c>
      <c r="BB49" s="248">
        <f>SUM(BB50:BB121)</f>
        <v>92</v>
      </c>
      <c r="BC49" s="248">
        <f>SUM(BC50:BC121)</f>
        <v>445</v>
      </c>
      <c r="BD49" s="248">
        <f>SUM(BD50:BD121)</f>
        <v>24</v>
      </c>
      <c r="BE49" s="248">
        <f>SUM(BE50:BE121)</f>
        <v>784</v>
      </c>
      <c r="BF49" s="248">
        <f aca="true" t="shared" si="17" ref="BF49:BF80">SUM(BG49:BH49)</f>
        <v>392</v>
      </c>
      <c r="BG49" s="248">
        <f>SUM(BG50:BG121)</f>
        <v>62</v>
      </c>
      <c r="BH49" s="248">
        <f>SUM(BH50:BH121)</f>
        <v>330</v>
      </c>
      <c r="BI49" s="247">
        <f>SUM(BI50:BI121)</f>
        <v>24</v>
      </c>
      <c r="BJ49" s="246">
        <f>SUM(BJ50:BJ121)</f>
        <v>756</v>
      </c>
      <c r="BK49" s="248">
        <f aca="true" t="shared" si="18" ref="BK49:BK80">SUM(BL49:BM49)</f>
        <v>380</v>
      </c>
      <c r="BL49" s="248">
        <f>SUM(BL50:BL121)</f>
        <v>56</v>
      </c>
      <c r="BM49" s="248">
        <f>SUM(BM50:BM121)</f>
        <v>324</v>
      </c>
      <c r="BN49" s="248">
        <f>SUM(BN50:BN121)</f>
        <v>21</v>
      </c>
      <c r="BO49" s="248">
        <f>SUM(BO50:BO121)</f>
        <v>689</v>
      </c>
      <c r="BP49" s="248">
        <f aca="true" t="shared" si="19" ref="BP49:BP80">SUM(BQ49:BR49)</f>
        <v>327</v>
      </c>
      <c r="BQ49" s="248">
        <f>SUM(BQ50:BQ121)</f>
        <v>50</v>
      </c>
      <c r="BR49" s="248">
        <f>SUM(BR50:BR121)</f>
        <v>277</v>
      </c>
      <c r="BS49" s="247">
        <f>SUM(BS50:BS121)</f>
        <v>21</v>
      </c>
      <c r="BT49" s="249">
        <f>SUM(BT50:BT121)</f>
        <v>199</v>
      </c>
      <c r="BU49" s="250"/>
      <c r="BV49" s="66"/>
      <c r="BW49" s="66"/>
      <c r="BX49" s="85">
        <f>BM49/7</f>
        <v>46.285714285714285</v>
      </c>
      <c r="BY49" s="85">
        <f>BR49/7</f>
        <v>39.57142857142857</v>
      </c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</row>
    <row r="50" spans="2:131" ht="39" outlineLevel="1">
      <c r="B50" s="188" t="s">
        <v>160</v>
      </c>
      <c r="C50" s="145" t="s">
        <v>530</v>
      </c>
      <c r="D50" s="113"/>
      <c r="E50" s="114"/>
      <c r="F50" s="168"/>
      <c r="G50" s="147"/>
      <c r="H50" s="251"/>
      <c r="I50" s="146"/>
      <c r="J50" s="146"/>
      <c r="K50" s="146"/>
      <c r="L50" s="251"/>
      <c r="M50" s="117"/>
      <c r="N50" s="146"/>
      <c r="O50" s="146"/>
      <c r="P50" s="146"/>
      <c r="Q50" s="146"/>
      <c r="R50" s="117"/>
      <c r="S50" s="146"/>
      <c r="T50" s="146"/>
      <c r="U50" s="147"/>
      <c r="V50" s="252"/>
      <c r="W50" s="117"/>
      <c r="X50" s="146"/>
      <c r="Y50" s="146"/>
      <c r="Z50" s="146"/>
      <c r="AA50" s="146"/>
      <c r="AB50" s="146"/>
      <c r="AC50" s="146"/>
      <c r="AD50" s="146"/>
      <c r="AE50" s="147"/>
      <c r="AF50" s="252"/>
      <c r="AG50" s="117"/>
      <c r="AH50" s="146"/>
      <c r="AI50" s="146"/>
      <c r="AJ50" s="146"/>
      <c r="AK50" s="146"/>
      <c r="AL50" s="117"/>
      <c r="AM50" s="146"/>
      <c r="AN50" s="146"/>
      <c r="AO50" s="147"/>
      <c r="AP50" s="252"/>
      <c r="AQ50" s="117"/>
      <c r="AR50" s="146"/>
      <c r="AS50" s="146"/>
      <c r="AT50" s="146"/>
      <c r="AU50" s="146"/>
      <c r="AV50" s="117"/>
      <c r="AW50" s="146"/>
      <c r="AX50" s="146"/>
      <c r="AY50" s="147"/>
      <c r="AZ50" s="252"/>
      <c r="BA50" s="117"/>
      <c r="BB50" s="146"/>
      <c r="BC50" s="146"/>
      <c r="BD50" s="146"/>
      <c r="BE50" s="146"/>
      <c r="BF50" s="117"/>
      <c r="BG50" s="146"/>
      <c r="BH50" s="146"/>
      <c r="BI50" s="147"/>
      <c r="BJ50" s="148"/>
      <c r="BK50" s="117"/>
      <c r="BL50" s="146"/>
      <c r="BM50" s="146"/>
      <c r="BN50" s="146"/>
      <c r="BO50" s="146"/>
      <c r="BP50" s="117"/>
      <c r="BQ50" s="146"/>
      <c r="BR50" s="146"/>
      <c r="BS50" s="147"/>
      <c r="BT50" s="121"/>
      <c r="BU50" s="151"/>
      <c r="BV50" s="69">
        <f>SUM(BT51:BT52)</f>
        <v>12</v>
      </c>
      <c r="BW50" s="66"/>
      <c r="BX50" s="85"/>
      <c r="BY50" s="85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</row>
    <row r="51" spans="2:131" ht="40.5" outlineLevel="1">
      <c r="B51" s="170" t="s">
        <v>258</v>
      </c>
      <c r="C51" s="153" t="s">
        <v>346</v>
      </c>
      <c r="D51" s="104">
        <v>1</v>
      </c>
      <c r="E51" s="105"/>
      <c r="F51" s="107">
        <f>SUM(L51,Q51,V51,AA51,AF51,AK51,AP51,AU51,AZ51,BE51,BJ51,BO51)</f>
        <v>216</v>
      </c>
      <c r="G51" s="108">
        <f>SUM(H51:K51)</f>
        <v>104</v>
      </c>
      <c r="H51" s="107">
        <f>SUM(N51,S51,X51,AC51,AH51,AM51,AR51,AW51,BB51,BG51,BL51,BQ51)</f>
        <v>24</v>
      </c>
      <c r="I51" s="109"/>
      <c r="J51" s="109">
        <f>SUM(O51,T51,Y51,AD51,AI51,AN51,AS51,AX51,BC51,BH51,BM51,BR51)</f>
        <v>80</v>
      </c>
      <c r="K51" s="110"/>
      <c r="L51" s="107">
        <v>216</v>
      </c>
      <c r="M51" s="109">
        <f t="shared" si="4"/>
        <v>104</v>
      </c>
      <c r="N51" s="111">
        <v>24</v>
      </c>
      <c r="O51" s="111">
        <v>80</v>
      </c>
      <c r="P51" s="109">
        <v>6</v>
      </c>
      <c r="Q51" s="112"/>
      <c r="R51" s="109">
        <f t="shared" si="5"/>
        <v>0</v>
      </c>
      <c r="S51" s="111"/>
      <c r="T51" s="111"/>
      <c r="U51" s="110"/>
      <c r="V51" s="112">
        <f>W51*1.6</f>
        <v>0</v>
      </c>
      <c r="W51" s="109">
        <f t="shared" si="14"/>
        <v>0</v>
      </c>
      <c r="X51" s="111"/>
      <c r="Y51" s="111"/>
      <c r="Z51" s="109">
        <f>V51/36</f>
        <v>0</v>
      </c>
      <c r="AA51" s="109"/>
      <c r="AB51" s="109">
        <f aca="true" t="shared" si="20" ref="AB51:AB83">SUM(AC51:AD51)</f>
        <v>0</v>
      </c>
      <c r="AC51" s="111"/>
      <c r="AD51" s="111"/>
      <c r="AE51" s="110"/>
      <c r="AF51" s="112"/>
      <c r="AG51" s="109">
        <f t="shared" si="12"/>
        <v>0</v>
      </c>
      <c r="AH51" s="111"/>
      <c r="AI51" s="111"/>
      <c r="AJ51" s="109"/>
      <c r="AK51" s="109"/>
      <c r="AL51" s="109">
        <f t="shared" si="13"/>
        <v>0</v>
      </c>
      <c r="AM51" s="111"/>
      <c r="AN51" s="111"/>
      <c r="AO51" s="110"/>
      <c r="AP51" s="112"/>
      <c r="AQ51" s="109">
        <f aca="true" t="shared" si="21" ref="AQ51:AQ80">SUM(AR51:AS51)</f>
        <v>0</v>
      </c>
      <c r="AR51" s="111"/>
      <c r="AS51" s="111"/>
      <c r="AT51" s="109"/>
      <c r="AU51" s="109"/>
      <c r="AV51" s="109">
        <f t="shared" si="15"/>
        <v>0</v>
      </c>
      <c r="AW51" s="111"/>
      <c r="AX51" s="111"/>
      <c r="AY51" s="110"/>
      <c r="AZ51" s="112"/>
      <c r="BA51" s="109">
        <f t="shared" si="16"/>
        <v>0</v>
      </c>
      <c r="BB51" s="111"/>
      <c r="BC51" s="111"/>
      <c r="BD51" s="109"/>
      <c r="BE51" s="109"/>
      <c r="BF51" s="109">
        <f t="shared" si="17"/>
        <v>0</v>
      </c>
      <c r="BG51" s="111"/>
      <c r="BH51" s="111"/>
      <c r="BI51" s="110"/>
      <c r="BJ51" s="112"/>
      <c r="BK51" s="109">
        <f t="shared" si="18"/>
        <v>0</v>
      </c>
      <c r="BL51" s="111"/>
      <c r="BM51" s="111"/>
      <c r="BN51" s="109"/>
      <c r="BO51" s="109"/>
      <c r="BP51" s="109">
        <f t="shared" si="19"/>
        <v>0</v>
      </c>
      <c r="BQ51" s="111"/>
      <c r="BR51" s="111"/>
      <c r="BS51" s="110"/>
      <c r="BT51" s="167">
        <f aca="true" t="shared" si="22" ref="BT51:BT82">SUM(P51,U51,Z51,AE51,AJ51,AO51,AT51,AY51,BD51,BI51,BN51,BS51)</f>
        <v>6</v>
      </c>
      <c r="BU51" s="156" t="s">
        <v>657</v>
      </c>
      <c r="BV51" s="66"/>
      <c r="BW51" s="66"/>
      <c r="BX51" s="85"/>
      <c r="BY51" s="85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</row>
    <row r="52" spans="2:131" ht="56.25" outlineLevel="1">
      <c r="B52" s="170" t="s">
        <v>205</v>
      </c>
      <c r="C52" s="153" t="s">
        <v>138</v>
      </c>
      <c r="D52" s="104">
        <v>4</v>
      </c>
      <c r="E52" s="105">
        <v>3</v>
      </c>
      <c r="F52" s="107">
        <f>SUM(L52,Q52,V52,AA52,AF52,AK52,AP52,AU52,AZ52,BE52,BJ52,BO52)</f>
        <v>216</v>
      </c>
      <c r="G52" s="108">
        <f>SUM(H52:K52)</f>
        <v>104</v>
      </c>
      <c r="H52" s="107">
        <f>SUM(N52,S52,X52,AC52,AH52,AM52,AR52,AW52,BB52,BG52,BL52,BQ52)</f>
        <v>14</v>
      </c>
      <c r="I52" s="109">
        <f>SUM(O52,T52,Y52,AD52,AI52,AN52,AS52,AX52,BC52,BH52,BM52,BR52)-J52</f>
        <v>0</v>
      </c>
      <c r="J52" s="109">
        <f>SUM(O52,T52,Y52,AD52,AI52,AN52,AS52,AX52,BC52,BH52,BM52,BR52)</f>
        <v>90</v>
      </c>
      <c r="K52" s="110"/>
      <c r="L52" s="107"/>
      <c r="M52" s="109">
        <f t="shared" si="4"/>
        <v>0</v>
      </c>
      <c r="N52" s="111"/>
      <c r="O52" s="111"/>
      <c r="P52" s="109"/>
      <c r="Q52" s="109"/>
      <c r="R52" s="109">
        <f t="shared" si="5"/>
        <v>0</v>
      </c>
      <c r="S52" s="111"/>
      <c r="T52" s="111"/>
      <c r="U52" s="110">
        <f>Q52/36</f>
        <v>0</v>
      </c>
      <c r="V52" s="112">
        <v>108</v>
      </c>
      <c r="W52" s="109">
        <f t="shared" si="14"/>
        <v>64</v>
      </c>
      <c r="X52" s="111">
        <v>10</v>
      </c>
      <c r="Y52" s="111">
        <v>54</v>
      </c>
      <c r="Z52" s="109">
        <v>3</v>
      </c>
      <c r="AA52" s="112">
        <v>108</v>
      </c>
      <c r="AB52" s="109">
        <f t="shared" si="20"/>
        <v>40</v>
      </c>
      <c r="AC52" s="111">
        <v>4</v>
      </c>
      <c r="AD52" s="111">
        <v>36</v>
      </c>
      <c r="AE52" s="110">
        <v>3</v>
      </c>
      <c r="AF52" s="112"/>
      <c r="AG52" s="109">
        <f t="shared" si="12"/>
        <v>0</v>
      </c>
      <c r="AH52" s="111"/>
      <c r="AI52" s="111"/>
      <c r="AJ52" s="109"/>
      <c r="AK52" s="109"/>
      <c r="AL52" s="109">
        <f t="shared" si="13"/>
        <v>0</v>
      </c>
      <c r="AM52" s="111"/>
      <c r="AN52" s="111"/>
      <c r="AO52" s="110"/>
      <c r="AP52" s="112"/>
      <c r="AQ52" s="109">
        <f t="shared" si="21"/>
        <v>0</v>
      </c>
      <c r="AR52" s="111"/>
      <c r="AS52" s="111"/>
      <c r="AT52" s="109"/>
      <c r="AU52" s="109"/>
      <c r="AV52" s="109">
        <f t="shared" si="15"/>
        <v>0</v>
      </c>
      <c r="AW52" s="111"/>
      <c r="AX52" s="111"/>
      <c r="AY52" s="110"/>
      <c r="AZ52" s="112"/>
      <c r="BA52" s="109">
        <f t="shared" si="16"/>
        <v>0</v>
      </c>
      <c r="BB52" s="111"/>
      <c r="BC52" s="111"/>
      <c r="BD52" s="109"/>
      <c r="BE52" s="109"/>
      <c r="BF52" s="109">
        <f t="shared" si="17"/>
        <v>0</v>
      </c>
      <c r="BG52" s="111"/>
      <c r="BH52" s="111"/>
      <c r="BI52" s="110"/>
      <c r="BJ52" s="112"/>
      <c r="BK52" s="109">
        <f t="shared" si="18"/>
        <v>0</v>
      </c>
      <c r="BL52" s="111"/>
      <c r="BM52" s="111"/>
      <c r="BN52" s="109"/>
      <c r="BO52" s="109"/>
      <c r="BP52" s="109">
        <f t="shared" si="19"/>
        <v>0</v>
      </c>
      <c r="BQ52" s="111"/>
      <c r="BR52" s="111"/>
      <c r="BS52" s="110"/>
      <c r="BT52" s="167">
        <f t="shared" si="22"/>
        <v>6</v>
      </c>
      <c r="BU52" s="156" t="s">
        <v>369</v>
      </c>
      <c r="BV52" s="66"/>
      <c r="BW52" s="66"/>
      <c r="BX52" s="85"/>
      <c r="BY52" s="85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</row>
    <row r="53" spans="2:131" ht="58.5" outlineLevel="1">
      <c r="B53" s="188" t="s">
        <v>161</v>
      </c>
      <c r="C53" s="200" t="s">
        <v>223</v>
      </c>
      <c r="D53" s="113"/>
      <c r="E53" s="114"/>
      <c r="F53" s="115"/>
      <c r="G53" s="202"/>
      <c r="H53" s="203"/>
      <c r="I53" s="232"/>
      <c r="J53" s="193"/>
      <c r="K53" s="205"/>
      <c r="L53" s="115"/>
      <c r="M53" s="117"/>
      <c r="N53" s="119"/>
      <c r="O53" s="119"/>
      <c r="P53" s="117"/>
      <c r="Q53" s="120"/>
      <c r="R53" s="117"/>
      <c r="S53" s="119"/>
      <c r="T53" s="119"/>
      <c r="U53" s="118"/>
      <c r="V53" s="120"/>
      <c r="W53" s="117"/>
      <c r="X53" s="119"/>
      <c r="Y53" s="119"/>
      <c r="Z53" s="117"/>
      <c r="AA53" s="117"/>
      <c r="AB53" s="117"/>
      <c r="AC53" s="119"/>
      <c r="AD53" s="119"/>
      <c r="AE53" s="118"/>
      <c r="AF53" s="120"/>
      <c r="AG53" s="117"/>
      <c r="AH53" s="119"/>
      <c r="AI53" s="119"/>
      <c r="AJ53" s="117"/>
      <c r="AK53" s="117"/>
      <c r="AL53" s="117"/>
      <c r="AM53" s="119"/>
      <c r="AN53" s="119"/>
      <c r="AO53" s="118"/>
      <c r="AP53" s="233"/>
      <c r="AQ53" s="117"/>
      <c r="AR53" s="234"/>
      <c r="AS53" s="234"/>
      <c r="AT53" s="235"/>
      <c r="AU53" s="234"/>
      <c r="AV53" s="117"/>
      <c r="AW53" s="234"/>
      <c r="AX53" s="234"/>
      <c r="AY53" s="236"/>
      <c r="AZ53" s="120"/>
      <c r="BA53" s="117"/>
      <c r="BB53" s="119"/>
      <c r="BC53" s="119"/>
      <c r="BD53" s="117"/>
      <c r="BE53" s="117"/>
      <c r="BF53" s="117"/>
      <c r="BG53" s="119"/>
      <c r="BH53" s="119"/>
      <c r="BI53" s="118"/>
      <c r="BJ53" s="120"/>
      <c r="BK53" s="117"/>
      <c r="BL53" s="119"/>
      <c r="BM53" s="119"/>
      <c r="BN53" s="117"/>
      <c r="BO53" s="120"/>
      <c r="BP53" s="117"/>
      <c r="BQ53" s="119"/>
      <c r="BR53" s="119"/>
      <c r="BS53" s="118"/>
      <c r="BT53" s="121"/>
      <c r="BU53" s="151"/>
      <c r="BV53" s="66"/>
      <c r="BW53" s="66"/>
      <c r="BX53" s="85"/>
      <c r="BY53" s="85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</row>
    <row r="54" spans="2:131" ht="20.25" outlineLevel="1">
      <c r="B54" s="170" t="s">
        <v>206</v>
      </c>
      <c r="C54" s="153" t="s">
        <v>224</v>
      </c>
      <c r="D54" s="104">
        <v>2</v>
      </c>
      <c r="E54" s="105">
        <v>1</v>
      </c>
      <c r="F54" s="107">
        <f>SUM(L54,Q54,V54,AA54,AF54,AK54,AP54,AU54,AZ54,BE54,BJ54,BO54)</f>
        <v>228</v>
      </c>
      <c r="G54" s="196">
        <f>SUM(H54:K54)</f>
        <v>124</v>
      </c>
      <c r="H54" s="172">
        <f>SUM(N54,S54,X54,AC54,AH54,AM54,AR54,AW54,BB54,BG54,BL54,BQ54)</f>
        <v>36</v>
      </c>
      <c r="I54" s="173"/>
      <c r="J54" s="174">
        <f>SUM(O54,T54,Y54,AD54,AI54,AN54,AS54,AX54,BC54,BH54,BM54,BR54)</f>
        <v>88</v>
      </c>
      <c r="K54" s="175"/>
      <c r="L54" s="107">
        <v>120</v>
      </c>
      <c r="M54" s="109">
        <f t="shared" si="4"/>
        <v>80</v>
      </c>
      <c r="N54" s="176">
        <v>28</v>
      </c>
      <c r="O54" s="176">
        <v>52</v>
      </c>
      <c r="P54" s="109">
        <v>3</v>
      </c>
      <c r="Q54" s="112">
        <v>108</v>
      </c>
      <c r="R54" s="109">
        <f t="shared" si="5"/>
        <v>44</v>
      </c>
      <c r="S54" s="176">
        <v>8</v>
      </c>
      <c r="T54" s="176">
        <v>36</v>
      </c>
      <c r="U54" s="110">
        <v>3</v>
      </c>
      <c r="V54" s="112"/>
      <c r="W54" s="109">
        <f t="shared" si="14"/>
        <v>0</v>
      </c>
      <c r="X54" s="111"/>
      <c r="Y54" s="111"/>
      <c r="Z54" s="109"/>
      <c r="AA54" s="109"/>
      <c r="AB54" s="109">
        <f t="shared" si="20"/>
        <v>0</v>
      </c>
      <c r="AC54" s="111"/>
      <c r="AD54" s="111"/>
      <c r="AE54" s="110"/>
      <c r="AF54" s="112"/>
      <c r="AG54" s="109">
        <f t="shared" si="12"/>
        <v>0</v>
      </c>
      <c r="AH54" s="111"/>
      <c r="AI54" s="111"/>
      <c r="AJ54" s="109"/>
      <c r="AK54" s="109"/>
      <c r="AL54" s="109">
        <f t="shared" si="13"/>
        <v>0</v>
      </c>
      <c r="AM54" s="111"/>
      <c r="AN54" s="111"/>
      <c r="AO54" s="110"/>
      <c r="AP54" s="237"/>
      <c r="AQ54" s="109">
        <f t="shared" si="21"/>
        <v>0</v>
      </c>
      <c r="AR54" s="238"/>
      <c r="AS54" s="238"/>
      <c r="AT54" s="239"/>
      <c r="AU54" s="238"/>
      <c r="AV54" s="109">
        <f t="shared" si="15"/>
        <v>0</v>
      </c>
      <c r="AW54" s="238"/>
      <c r="AX54" s="238"/>
      <c r="AY54" s="240"/>
      <c r="AZ54" s="112"/>
      <c r="BA54" s="109">
        <f t="shared" si="16"/>
        <v>0</v>
      </c>
      <c r="BB54" s="111"/>
      <c r="BC54" s="111"/>
      <c r="BD54" s="109"/>
      <c r="BE54" s="109"/>
      <c r="BF54" s="109">
        <f t="shared" si="17"/>
        <v>0</v>
      </c>
      <c r="BG54" s="111"/>
      <c r="BH54" s="111"/>
      <c r="BI54" s="110"/>
      <c r="BJ54" s="112"/>
      <c r="BK54" s="109">
        <f t="shared" si="18"/>
        <v>0</v>
      </c>
      <c r="BL54" s="111"/>
      <c r="BM54" s="111"/>
      <c r="BN54" s="109"/>
      <c r="BO54" s="112"/>
      <c r="BP54" s="109">
        <f t="shared" si="19"/>
        <v>0</v>
      </c>
      <c r="BQ54" s="111"/>
      <c r="BR54" s="111"/>
      <c r="BS54" s="110"/>
      <c r="BT54" s="167">
        <f t="shared" si="22"/>
        <v>6</v>
      </c>
      <c r="BU54" s="156" t="s">
        <v>370</v>
      </c>
      <c r="BV54" s="66"/>
      <c r="BW54" s="66"/>
      <c r="BX54" s="85"/>
      <c r="BY54" s="85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</row>
    <row r="55" spans="2:131" ht="20.25" outlineLevel="1">
      <c r="B55" s="170" t="s">
        <v>207</v>
      </c>
      <c r="C55" s="153" t="s">
        <v>216</v>
      </c>
      <c r="D55" s="171"/>
      <c r="E55" s="195">
        <v>12</v>
      </c>
      <c r="F55" s="107">
        <f>SUM(L55,Q55,V55,AA55,AF55,AK55,AP55,AU55,AZ55,BE55,BJ55,BO55)</f>
        <v>90</v>
      </c>
      <c r="G55" s="196">
        <f>SUM(H55:K55)</f>
        <v>36</v>
      </c>
      <c r="H55" s="172">
        <f>SUM(N55,S55,X55,AC55,AH55,AM55,AR55,AW55,BB55,BG55,BL55,BQ55)</f>
        <v>6</v>
      </c>
      <c r="I55" s="174"/>
      <c r="J55" s="174"/>
      <c r="K55" s="175">
        <f>SUM(O55,T55,Y55,AD55,AI55,AN55,AS55,AX55,BC55,BH55,BM55,BR55)</f>
        <v>30</v>
      </c>
      <c r="L55" s="177"/>
      <c r="M55" s="109">
        <f t="shared" si="4"/>
        <v>0</v>
      </c>
      <c r="N55" s="176"/>
      <c r="O55" s="176"/>
      <c r="P55" s="109"/>
      <c r="Q55" s="112"/>
      <c r="R55" s="109">
        <f t="shared" si="5"/>
        <v>0</v>
      </c>
      <c r="S55" s="176"/>
      <c r="T55" s="176"/>
      <c r="U55" s="110"/>
      <c r="V55" s="112"/>
      <c r="W55" s="109">
        <f t="shared" si="14"/>
        <v>0</v>
      </c>
      <c r="X55" s="176"/>
      <c r="Y55" s="176"/>
      <c r="Z55" s="109"/>
      <c r="AA55" s="174"/>
      <c r="AB55" s="109">
        <f t="shared" si="20"/>
        <v>0</v>
      </c>
      <c r="AC55" s="176"/>
      <c r="AD55" s="176"/>
      <c r="AE55" s="110"/>
      <c r="AF55" s="177"/>
      <c r="AG55" s="109">
        <f t="shared" si="12"/>
        <v>0</v>
      </c>
      <c r="AH55" s="176"/>
      <c r="AI55" s="176"/>
      <c r="AJ55" s="109"/>
      <c r="AK55" s="174"/>
      <c r="AL55" s="109">
        <f t="shared" si="13"/>
        <v>0</v>
      </c>
      <c r="AM55" s="176"/>
      <c r="AN55" s="176"/>
      <c r="AO55" s="110"/>
      <c r="AP55" s="177"/>
      <c r="AQ55" s="109">
        <f t="shared" si="21"/>
        <v>0</v>
      </c>
      <c r="AR55" s="176"/>
      <c r="AS55" s="176"/>
      <c r="AT55" s="109"/>
      <c r="AU55" s="174"/>
      <c r="AV55" s="109">
        <f t="shared" si="15"/>
        <v>0</v>
      </c>
      <c r="AW55" s="176"/>
      <c r="AX55" s="176"/>
      <c r="AY55" s="110"/>
      <c r="AZ55" s="177"/>
      <c r="BA55" s="109">
        <f t="shared" si="16"/>
        <v>0</v>
      </c>
      <c r="BB55" s="176"/>
      <c r="BC55" s="176"/>
      <c r="BD55" s="109"/>
      <c r="BE55" s="174"/>
      <c r="BF55" s="109">
        <f t="shared" si="17"/>
        <v>0</v>
      </c>
      <c r="BG55" s="176"/>
      <c r="BH55" s="176"/>
      <c r="BI55" s="110"/>
      <c r="BJ55" s="177"/>
      <c r="BK55" s="109">
        <f t="shared" si="18"/>
        <v>0</v>
      </c>
      <c r="BL55" s="176"/>
      <c r="BM55" s="176"/>
      <c r="BN55" s="109"/>
      <c r="BO55" s="177">
        <v>90</v>
      </c>
      <c r="BP55" s="109">
        <f t="shared" si="19"/>
        <v>36</v>
      </c>
      <c r="BQ55" s="176">
        <v>6</v>
      </c>
      <c r="BR55" s="176">
        <v>30</v>
      </c>
      <c r="BS55" s="109">
        <v>3</v>
      </c>
      <c r="BT55" s="167">
        <f t="shared" si="22"/>
        <v>3</v>
      </c>
      <c r="BU55" s="156" t="s">
        <v>371</v>
      </c>
      <c r="BV55" s="66"/>
      <c r="BW55" s="66"/>
      <c r="BX55" s="85"/>
      <c r="BY55" s="85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</row>
    <row r="56" spans="2:131" ht="58.5" outlineLevel="1">
      <c r="B56" s="188" t="s">
        <v>192</v>
      </c>
      <c r="C56" s="145" t="s">
        <v>586</v>
      </c>
      <c r="D56" s="201"/>
      <c r="E56" s="190"/>
      <c r="F56" s="191"/>
      <c r="G56" s="147"/>
      <c r="H56" s="191"/>
      <c r="I56" s="192"/>
      <c r="J56" s="192"/>
      <c r="K56" s="147"/>
      <c r="L56" s="191"/>
      <c r="M56" s="117"/>
      <c r="N56" s="192"/>
      <c r="O56" s="192"/>
      <c r="P56" s="117"/>
      <c r="Q56" s="193"/>
      <c r="R56" s="117"/>
      <c r="S56" s="192"/>
      <c r="T56" s="192"/>
      <c r="U56" s="147"/>
      <c r="V56" s="194"/>
      <c r="W56" s="117"/>
      <c r="X56" s="192"/>
      <c r="Y56" s="192"/>
      <c r="Z56" s="146"/>
      <c r="AA56" s="192"/>
      <c r="AB56" s="117"/>
      <c r="AC56" s="192"/>
      <c r="AD56" s="192"/>
      <c r="AE56" s="147"/>
      <c r="AF56" s="194"/>
      <c r="AG56" s="117"/>
      <c r="AH56" s="192"/>
      <c r="AI56" s="192"/>
      <c r="AJ56" s="146"/>
      <c r="AK56" s="192"/>
      <c r="AL56" s="117"/>
      <c r="AM56" s="192"/>
      <c r="AN56" s="192"/>
      <c r="AO56" s="147"/>
      <c r="AP56" s="194"/>
      <c r="AQ56" s="117"/>
      <c r="AR56" s="192"/>
      <c r="AS56" s="192"/>
      <c r="AT56" s="146"/>
      <c r="AU56" s="192"/>
      <c r="AV56" s="117"/>
      <c r="AW56" s="192"/>
      <c r="AX56" s="192"/>
      <c r="AY56" s="147"/>
      <c r="AZ56" s="194"/>
      <c r="BA56" s="117"/>
      <c r="BB56" s="192"/>
      <c r="BC56" s="192"/>
      <c r="BD56" s="146"/>
      <c r="BE56" s="192"/>
      <c r="BF56" s="117"/>
      <c r="BG56" s="192"/>
      <c r="BH56" s="192"/>
      <c r="BI56" s="147"/>
      <c r="BJ56" s="194"/>
      <c r="BK56" s="117"/>
      <c r="BL56" s="192"/>
      <c r="BM56" s="192"/>
      <c r="BN56" s="146"/>
      <c r="BO56" s="192"/>
      <c r="BP56" s="117"/>
      <c r="BQ56" s="192"/>
      <c r="BR56" s="192"/>
      <c r="BS56" s="147"/>
      <c r="BT56" s="121"/>
      <c r="BU56" s="151"/>
      <c r="BV56" s="66"/>
      <c r="BW56" s="66"/>
      <c r="BX56" s="85"/>
      <c r="BY56" s="85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</row>
    <row r="57" spans="2:131" ht="60.75" outlineLevel="1">
      <c r="B57" s="152" t="s">
        <v>208</v>
      </c>
      <c r="C57" s="153" t="s">
        <v>588</v>
      </c>
      <c r="D57" s="171"/>
      <c r="E57" s="195" t="s">
        <v>156</v>
      </c>
      <c r="F57" s="172">
        <f>SUM(L57,Q57,V57,AA57,AF57,AK57,AP57,AU57,AZ57,BE57,BJ57,BO57)</f>
        <v>72</v>
      </c>
      <c r="G57" s="174">
        <f>SUM(H57:K57)</f>
        <v>36</v>
      </c>
      <c r="H57" s="172">
        <f>SUM(N57,S57,X57,AC57,AH57,AM57,AR57,AW57,BB57,BG57,BL57,BQ57)</f>
        <v>18</v>
      </c>
      <c r="I57" s="174"/>
      <c r="J57" s="174"/>
      <c r="K57" s="174">
        <f>SUM(O57,T57,Y57,AD57,AI57,AN57,AS57,AX57,BC57,BH57,BM57,BR57)</f>
        <v>18</v>
      </c>
      <c r="L57" s="172">
        <v>72</v>
      </c>
      <c r="M57" s="109">
        <f t="shared" si="4"/>
        <v>36</v>
      </c>
      <c r="N57" s="174">
        <v>18</v>
      </c>
      <c r="O57" s="174">
        <v>18</v>
      </c>
      <c r="P57" s="109">
        <v>2</v>
      </c>
      <c r="Q57" s="174"/>
      <c r="R57" s="174">
        <f t="shared" si="5"/>
        <v>0</v>
      </c>
      <c r="S57" s="174"/>
      <c r="T57" s="174"/>
      <c r="U57" s="108"/>
      <c r="V57" s="172"/>
      <c r="W57" s="174"/>
      <c r="X57" s="174"/>
      <c r="Y57" s="174"/>
      <c r="Z57" s="109"/>
      <c r="AA57" s="174"/>
      <c r="AB57" s="109">
        <f t="shared" si="20"/>
        <v>0</v>
      </c>
      <c r="AC57" s="174"/>
      <c r="AD57" s="174"/>
      <c r="AE57" s="110"/>
      <c r="AF57" s="177"/>
      <c r="AG57" s="109">
        <f t="shared" si="12"/>
        <v>0</v>
      </c>
      <c r="AH57" s="174"/>
      <c r="AI57" s="174"/>
      <c r="AJ57" s="108"/>
      <c r="AK57" s="174"/>
      <c r="AL57" s="109">
        <f t="shared" si="13"/>
        <v>0</v>
      </c>
      <c r="AM57" s="174"/>
      <c r="AN57" s="174"/>
      <c r="AO57" s="110"/>
      <c r="AP57" s="177"/>
      <c r="AQ57" s="109">
        <f t="shared" si="21"/>
        <v>0</v>
      </c>
      <c r="AR57" s="174"/>
      <c r="AS57" s="174"/>
      <c r="AT57" s="108"/>
      <c r="AU57" s="174"/>
      <c r="AV57" s="109">
        <f t="shared" si="15"/>
        <v>0</v>
      </c>
      <c r="AW57" s="174"/>
      <c r="AX57" s="174"/>
      <c r="AY57" s="110"/>
      <c r="AZ57" s="177"/>
      <c r="BA57" s="109">
        <f t="shared" si="16"/>
        <v>0</v>
      </c>
      <c r="BB57" s="174"/>
      <c r="BC57" s="174"/>
      <c r="BD57" s="108"/>
      <c r="BE57" s="174"/>
      <c r="BF57" s="109">
        <f t="shared" si="17"/>
        <v>0</v>
      </c>
      <c r="BG57" s="174"/>
      <c r="BH57" s="174"/>
      <c r="BI57" s="110"/>
      <c r="BJ57" s="177"/>
      <c r="BK57" s="109">
        <f t="shared" si="18"/>
        <v>0</v>
      </c>
      <c r="BL57" s="174"/>
      <c r="BM57" s="174"/>
      <c r="BN57" s="108"/>
      <c r="BO57" s="174"/>
      <c r="BP57" s="109">
        <f t="shared" si="19"/>
        <v>0</v>
      </c>
      <c r="BQ57" s="174"/>
      <c r="BR57" s="174"/>
      <c r="BS57" s="110"/>
      <c r="BT57" s="167">
        <f t="shared" si="22"/>
        <v>2</v>
      </c>
      <c r="BU57" s="156" t="s">
        <v>687</v>
      </c>
      <c r="BV57" s="66"/>
      <c r="BW57" s="66"/>
      <c r="BX57" s="85"/>
      <c r="BY57" s="85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</row>
    <row r="58" spans="2:131" ht="108" customHeight="1" outlineLevel="1">
      <c r="B58" s="152" t="s">
        <v>259</v>
      </c>
      <c r="C58" s="153" t="s">
        <v>587</v>
      </c>
      <c r="D58" s="171"/>
      <c r="E58" s="195" t="s">
        <v>634</v>
      </c>
      <c r="F58" s="172">
        <f>SUM(L58,Q58,V58,AA58,AF58,AK58,AP58,AU58,AZ58,BE58,BJ58,BO58)</f>
        <v>72</v>
      </c>
      <c r="G58" s="174">
        <f>SUM(H58:K58)</f>
        <v>36</v>
      </c>
      <c r="H58" s="172">
        <f>SUM(N58,S58,X58,AC58,AH58,AM58,AR58,AW58,BB58,BG58,BL58,BQ58)</f>
        <v>18</v>
      </c>
      <c r="I58" s="174"/>
      <c r="J58" s="174"/>
      <c r="K58" s="174">
        <f>SUM(O58,T58,Y58,AD58,AI58,AN58,AS58,AX58,BC58,BH58,BM58,BR58)</f>
        <v>18</v>
      </c>
      <c r="L58" s="172"/>
      <c r="M58" s="109">
        <f t="shared" si="4"/>
        <v>0</v>
      </c>
      <c r="N58" s="174"/>
      <c r="O58" s="174"/>
      <c r="P58" s="109"/>
      <c r="Q58" s="174">
        <v>72</v>
      </c>
      <c r="R58" s="174">
        <f t="shared" si="5"/>
        <v>36</v>
      </c>
      <c r="S58" s="174">
        <v>18</v>
      </c>
      <c r="T58" s="174">
        <v>18</v>
      </c>
      <c r="U58" s="108">
        <v>2</v>
      </c>
      <c r="V58" s="172"/>
      <c r="W58" s="174"/>
      <c r="X58" s="174"/>
      <c r="Y58" s="174"/>
      <c r="Z58" s="109"/>
      <c r="AA58" s="174"/>
      <c r="AB58" s="109">
        <f t="shared" si="20"/>
        <v>0</v>
      </c>
      <c r="AC58" s="174"/>
      <c r="AD58" s="174"/>
      <c r="AE58" s="110"/>
      <c r="AF58" s="177"/>
      <c r="AG58" s="109">
        <f t="shared" si="12"/>
        <v>0</v>
      </c>
      <c r="AH58" s="174"/>
      <c r="AI58" s="174"/>
      <c r="AJ58" s="108"/>
      <c r="AK58" s="174"/>
      <c r="AL58" s="109">
        <f t="shared" si="13"/>
        <v>0</v>
      </c>
      <c r="AM58" s="174"/>
      <c r="AN58" s="174"/>
      <c r="AO58" s="110"/>
      <c r="AP58" s="177"/>
      <c r="AQ58" s="109">
        <f t="shared" si="21"/>
        <v>0</v>
      </c>
      <c r="AR58" s="174"/>
      <c r="AS58" s="174"/>
      <c r="AT58" s="108"/>
      <c r="AU58" s="174"/>
      <c r="AV58" s="109">
        <f t="shared" si="15"/>
        <v>0</v>
      </c>
      <c r="AW58" s="174"/>
      <c r="AX58" s="174"/>
      <c r="AY58" s="110"/>
      <c r="AZ58" s="177"/>
      <c r="BA58" s="109">
        <f t="shared" si="16"/>
        <v>0</v>
      </c>
      <c r="BB58" s="174"/>
      <c r="BC58" s="174"/>
      <c r="BD58" s="108"/>
      <c r="BE58" s="174"/>
      <c r="BF58" s="109">
        <f t="shared" si="17"/>
        <v>0</v>
      </c>
      <c r="BG58" s="174"/>
      <c r="BH58" s="174"/>
      <c r="BI58" s="110"/>
      <c r="BJ58" s="177"/>
      <c r="BK58" s="109">
        <f t="shared" si="18"/>
        <v>0</v>
      </c>
      <c r="BL58" s="174"/>
      <c r="BM58" s="174"/>
      <c r="BN58" s="108"/>
      <c r="BO58" s="174"/>
      <c r="BP58" s="109">
        <f t="shared" si="19"/>
        <v>0</v>
      </c>
      <c r="BQ58" s="174"/>
      <c r="BR58" s="174"/>
      <c r="BS58" s="110"/>
      <c r="BT58" s="167">
        <f t="shared" si="22"/>
        <v>2</v>
      </c>
      <c r="BU58" s="156" t="s">
        <v>688</v>
      </c>
      <c r="BV58" s="66"/>
      <c r="BW58" s="66"/>
      <c r="BX58" s="85"/>
      <c r="BY58" s="85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</row>
    <row r="59" spans="2:131" ht="105.75" customHeight="1" outlineLevel="1">
      <c r="B59" s="152" t="s">
        <v>557</v>
      </c>
      <c r="C59" s="153" t="s">
        <v>589</v>
      </c>
      <c r="D59" s="171"/>
      <c r="E59" s="195" t="s">
        <v>635</v>
      </c>
      <c r="F59" s="172">
        <f>SUM(L59,Q59,V59,AA59,AF59,AK59,AP59,AU59,AZ59,BE59,BJ59,BO59)</f>
        <v>72</v>
      </c>
      <c r="G59" s="174">
        <f>SUM(H59:K59)</f>
        <v>36</v>
      </c>
      <c r="H59" s="172">
        <f>SUM(N59,S59,X59,AC59,AH59,AM59,AR59,AW59,BB59,BG59,BL59,BQ59)</f>
        <v>18</v>
      </c>
      <c r="I59" s="174"/>
      <c r="J59" s="174"/>
      <c r="K59" s="174">
        <f>SUM(O59,T59,Y59,AD59,AI59,AN59,AS59,AX59,BC59,BH59,BM59,BR59)</f>
        <v>18</v>
      </c>
      <c r="L59" s="172"/>
      <c r="M59" s="109"/>
      <c r="N59" s="174"/>
      <c r="O59" s="174"/>
      <c r="P59" s="109"/>
      <c r="Q59" s="174"/>
      <c r="R59" s="174"/>
      <c r="S59" s="174"/>
      <c r="T59" s="174"/>
      <c r="U59" s="108"/>
      <c r="V59" s="172">
        <v>72</v>
      </c>
      <c r="W59" s="174">
        <f>SUM(X59:Y59)</f>
        <v>36</v>
      </c>
      <c r="X59" s="174">
        <v>18</v>
      </c>
      <c r="Y59" s="174">
        <v>18</v>
      </c>
      <c r="Z59" s="109">
        <v>2</v>
      </c>
      <c r="AA59" s="177"/>
      <c r="AB59" s="109"/>
      <c r="AC59" s="174"/>
      <c r="AD59" s="174"/>
      <c r="AE59" s="110"/>
      <c r="AF59" s="177"/>
      <c r="AG59" s="109"/>
      <c r="AH59" s="174"/>
      <c r="AI59" s="174"/>
      <c r="AJ59" s="108"/>
      <c r="AK59" s="174"/>
      <c r="AL59" s="109"/>
      <c r="AM59" s="174"/>
      <c r="AN59" s="174"/>
      <c r="AO59" s="110"/>
      <c r="AP59" s="177"/>
      <c r="AQ59" s="109"/>
      <c r="AR59" s="174"/>
      <c r="AS59" s="174"/>
      <c r="AT59" s="108"/>
      <c r="AU59" s="174"/>
      <c r="AV59" s="109"/>
      <c r="AW59" s="174"/>
      <c r="AX59" s="174"/>
      <c r="AY59" s="110"/>
      <c r="AZ59" s="177"/>
      <c r="BA59" s="109"/>
      <c r="BB59" s="174"/>
      <c r="BC59" s="174"/>
      <c r="BD59" s="108"/>
      <c r="BE59" s="174"/>
      <c r="BF59" s="109"/>
      <c r="BG59" s="174"/>
      <c r="BH59" s="174"/>
      <c r="BI59" s="110"/>
      <c r="BJ59" s="177"/>
      <c r="BK59" s="109"/>
      <c r="BL59" s="174"/>
      <c r="BM59" s="174"/>
      <c r="BN59" s="108"/>
      <c r="BO59" s="174"/>
      <c r="BP59" s="109"/>
      <c r="BQ59" s="174"/>
      <c r="BR59" s="174"/>
      <c r="BS59" s="110"/>
      <c r="BT59" s="167"/>
      <c r="BU59" s="156" t="s">
        <v>630</v>
      </c>
      <c r="BV59" s="66"/>
      <c r="BW59" s="66"/>
      <c r="BX59" s="85"/>
      <c r="BY59" s="85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</row>
    <row r="60" spans="2:131" ht="58.5" outlineLevel="1">
      <c r="B60" s="188" t="s">
        <v>167</v>
      </c>
      <c r="C60" s="200" t="s">
        <v>357</v>
      </c>
      <c r="D60" s="113"/>
      <c r="E60" s="114"/>
      <c r="F60" s="115"/>
      <c r="G60" s="116"/>
      <c r="H60" s="115"/>
      <c r="I60" s="117"/>
      <c r="J60" s="117"/>
      <c r="K60" s="118"/>
      <c r="L60" s="115"/>
      <c r="M60" s="117"/>
      <c r="N60" s="119"/>
      <c r="O60" s="119"/>
      <c r="P60" s="117"/>
      <c r="Q60" s="117"/>
      <c r="R60" s="117"/>
      <c r="S60" s="119"/>
      <c r="T60" s="119"/>
      <c r="U60" s="118"/>
      <c r="V60" s="120"/>
      <c r="W60" s="117"/>
      <c r="X60" s="119"/>
      <c r="Y60" s="119"/>
      <c r="Z60" s="117"/>
      <c r="AA60" s="120"/>
      <c r="AB60" s="117"/>
      <c r="AC60" s="119"/>
      <c r="AD60" s="119"/>
      <c r="AE60" s="118"/>
      <c r="AF60" s="120"/>
      <c r="AG60" s="117"/>
      <c r="AH60" s="119"/>
      <c r="AI60" s="119"/>
      <c r="AJ60" s="117"/>
      <c r="AK60" s="117"/>
      <c r="AL60" s="117"/>
      <c r="AM60" s="119"/>
      <c r="AN60" s="119"/>
      <c r="AO60" s="118"/>
      <c r="AP60" s="120"/>
      <c r="AQ60" s="117"/>
      <c r="AR60" s="119"/>
      <c r="AS60" s="119"/>
      <c r="AT60" s="117"/>
      <c r="AU60" s="117"/>
      <c r="AV60" s="117"/>
      <c r="AW60" s="119"/>
      <c r="AX60" s="119"/>
      <c r="AY60" s="118"/>
      <c r="AZ60" s="120"/>
      <c r="BA60" s="117"/>
      <c r="BB60" s="119"/>
      <c r="BC60" s="119"/>
      <c r="BD60" s="117"/>
      <c r="BE60" s="117"/>
      <c r="BF60" s="117"/>
      <c r="BG60" s="119"/>
      <c r="BH60" s="119"/>
      <c r="BI60" s="118"/>
      <c r="BJ60" s="120"/>
      <c r="BK60" s="117"/>
      <c r="BL60" s="119"/>
      <c r="BM60" s="119"/>
      <c r="BN60" s="117"/>
      <c r="BO60" s="117"/>
      <c r="BP60" s="117"/>
      <c r="BQ60" s="119"/>
      <c r="BR60" s="119"/>
      <c r="BS60" s="118"/>
      <c r="BT60" s="121"/>
      <c r="BU60" s="151"/>
      <c r="BV60" s="69">
        <f>SUM(BT61:BT62)</f>
        <v>9</v>
      </c>
      <c r="BW60" s="66"/>
      <c r="BX60" s="85"/>
      <c r="BY60" s="85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</row>
    <row r="61" spans="2:131" ht="48" customHeight="1" outlineLevel="1">
      <c r="B61" s="170" t="s">
        <v>209</v>
      </c>
      <c r="C61" s="153" t="s">
        <v>72</v>
      </c>
      <c r="D61" s="104">
        <v>6</v>
      </c>
      <c r="E61" s="105">
        <v>4</v>
      </c>
      <c r="F61" s="107">
        <f>SUM(L61,Q61,V61,AA61,AF61,AK61,AP61,AU61,AZ61,BE61,BJ61,BO61)</f>
        <v>246</v>
      </c>
      <c r="G61" s="108">
        <f>SUM(H61:K61)</f>
        <v>140</v>
      </c>
      <c r="H61" s="107">
        <f>SUM(N61,S61,X61,AC61,AH61,AM61,AR61,AW61,BB61,BG61,BL61,BQ61)</f>
        <v>14</v>
      </c>
      <c r="I61" s="239"/>
      <c r="J61" s="109">
        <f>SUM(O61,T61,Y61,AD61,AI61,AN61,AS61,AX61,BC61,BH61,BM61,BR61)</f>
        <v>126</v>
      </c>
      <c r="K61" s="110"/>
      <c r="L61" s="107"/>
      <c r="M61" s="109">
        <f t="shared" si="4"/>
        <v>0</v>
      </c>
      <c r="N61" s="111"/>
      <c r="O61" s="111"/>
      <c r="P61" s="109"/>
      <c r="Q61" s="109"/>
      <c r="R61" s="109">
        <f t="shared" si="5"/>
        <v>0</v>
      </c>
      <c r="S61" s="111"/>
      <c r="T61" s="111"/>
      <c r="U61" s="110"/>
      <c r="V61" s="112"/>
      <c r="W61" s="109">
        <f aca="true" t="shared" si="23" ref="W61:W91">SUM(X61:Y61)</f>
        <v>0</v>
      </c>
      <c r="X61" s="111"/>
      <c r="Y61" s="111"/>
      <c r="Z61" s="109">
        <f>V61/36</f>
        <v>0</v>
      </c>
      <c r="AA61" s="109">
        <v>108</v>
      </c>
      <c r="AB61" s="109">
        <f t="shared" si="20"/>
        <v>59</v>
      </c>
      <c r="AC61" s="111">
        <v>6</v>
      </c>
      <c r="AD61" s="111">
        <v>53</v>
      </c>
      <c r="AE61" s="110">
        <v>3</v>
      </c>
      <c r="AF61" s="112">
        <v>70</v>
      </c>
      <c r="AG61" s="109">
        <f t="shared" si="12"/>
        <v>45</v>
      </c>
      <c r="AH61" s="111">
        <v>6</v>
      </c>
      <c r="AI61" s="111">
        <v>39</v>
      </c>
      <c r="AJ61" s="109"/>
      <c r="AK61" s="109">
        <v>68</v>
      </c>
      <c r="AL61" s="109">
        <f t="shared" si="13"/>
        <v>36</v>
      </c>
      <c r="AM61" s="111">
        <v>2</v>
      </c>
      <c r="AN61" s="111">
        <v>34</v>
      </c>
      <c r="AO61" s="110">
        <v>3</v>
      </c>
      <c r="AP61" s="112"/>
      <c r="AQ61" s="109">
        <f t="shared" si="21"/>
        <v>0</v>
      </c>
      <c r="AR61" s="111"/>
      <c r="AS61" s="111"/>
      <c r="AT61" s="109"/>
      <c r="AU61" s="109"/>
      <c r="AV61" s="109">
        <f t="shared" si="15"/>
        <v>0</v>
      </c>
      <c r="AW61" s="111"/>
      <c r="AX61" s="111"/>
      <c r="AY61" s="110"/>
      <c r="AZ61" s="112"/>
      <c r="BA61" s="109">
        <f t="shared" si="16"/>
        <v>0</v>
      </c>
      <c r="BB61" s="111"/>
      <c r="BC61" s="111"/>
      <c r="BD61" s="109"/>
      <c r="BE61" s="109"/>
      <c r="BF61" s="109">
        <f t="shared" si="17"/>
        <v>0</v>
      </c>
      <c r="BG61" s="111"/>
      <c r="BH61" s="111"/>
      <c r="BI61" s="110"/>
      <c r="BJ61" s="112"/>
      <c r="BK61" s="109">
        <f t="shared" si="18"/>
        <v>0</v>
      </c>
      <c r="BL61" s="111"/>
      <c r="BM61" s="111"/>
      <c r="BN61" s="109"/>
      <c r="BO61" s="109"/>
      <c r="BP61" s="109">
        <f t="shared" si="19"/>
        <v>0</v>
      </c>
      <c r="BQ61" s="111"/>
      <c r="BR61" s="111"/>
      <c r="BS61" s="110"/>
      <c r="BT61" s="167">
        <f t="shared" si="22"/>
        <v>6</v>
      </c>
      <c r="BU61" s="199" t="s">
        <v>373</v>
      </c>
      <c r="BV61" s="66"/>
      <c r="BW61" s="66"/>
      <c r="BX61" s="85"/>
      <c r="BY61" s="85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</row>
    <row r="62" spans="2:131" ht="43.5" customHeight="1" outlineLevel="1">
      <c r="B62" s="170" t="s">
        <v>210</v>
      </c>
      <c r="C62" s="153" t="s">
        <v>74</v>
      </c>
      <c r="D62" s="104"/>
      <c r="E62" s="105">
        <v>6</v>
      </c>
      <c r="F62" s="107">
        <f>SUM(L62,Q62,V62,AA62,AF62,AK62,AP62,AU62,AZ62,BE62,BJ62,BO62)</f>
        <v>108</v>
      </c>
      <c r="G62" s="108">
        <f>SUM(H62:K62)</f>
        <v>54</v>
      </c>
      <c r="H62" s="107">
        <f>SUM(N62,S62,X62,AC62,AH62,AM62,AR62,AW62,BB62,BG62,BL62,BQ62)</f>
        <v>18</v>
      </c>
      <c r="I62" s="239"/>
      <c r="J62" s="109">
        <f>SUM(O62,T62,Y62,AD62,AI62,AN62,AS62,AX62,BC62,BH62,BM62,BR62)</f>
        <v>36</v>
      </c>
      <c r="K62" s="110"/>
      <c r="L62" s="107"/>
      <c r="M62" s="109">
        <f t="shared" si="4"/>
        <v>0</v>
      </c>
      <c r="N62" s="111"/>
      <c r="O62" s="111"/>
      <c r="P62" s="109"/>
      <c r="Q62" s="109"/>
      <c r="R62" s="109">
        <f t="shared" si="5"/>
        <v>0</v>
      </c>
      <c r="S62" s="111"/>
      <c r="T62" s="111"/>
      <c r="U62" s="110"/>
      <c r="V62" s="112"/>
      <c r="W62" s="109">
        <f t="shared" si="23"/>
        <v>0</v>
      </c>
      <c r="X62" s="111"/>
      <c r="Y62" s="111"/>
      <c r="Z62" s="109"/>
      <c r="AA62" s="109">
        <f>AB62*1.4</f>
        <v>0</v>
      </c>
      <c r="AB62" s="109">
        <f t="shared" si="20"/>
        <v>0</v>
      </c>
      <c r="AC62" s="111"/>
      <c r="AD62" s="111"/>
      <c r="AE62" s="110">
        <f>AA62/36</f>
        <v>0</v>
      </c>
      <c r="AF62" s="112"/>
      <c r="AG62" s="109">
        <f t="shared" si="12"/>
        <v>0</v>
      </c>
      <c r="AH62" s="111"/>
      <c r="AI62" s="111"/>
      <c r="AJ62" s="109"/>
      <c r="AK62" s="109">
        <v>108</v>
      </c>
      <c r="AL62" s="109">
        <f t="shared" si="13"/>
        <v>54</v>
      </c>
      <c r="AM62" s="111">
        <v>18</v>
      </c>
      <c r="AN62" s="111">
        <v>36</v>
      </c>
      <c r="AO62" s="110">
        <v>3</v>
      </c>
      <c r="AP62" s="112"/>
      <c r="AQ62" s="109">
        <f t="shared" si="21"/>
        <v>0</v>
      </c>
      <c r="AR62" s="111"/>
      <c r="AS62" s="111"/>
      <c r="AT62" s="109"/>
      <c r="AU62" s="109"/>
      <c r="AV62" s="109">
        <f t="shared" si="15"/>
        <v>0</v>
      </c>
      <c r="AW62" s="111"/>
      <c r="AX62" s="111"/>
      <c r="AY62" s="110"/>
      <c r="AZ62" s="112"/>
      <c r="BA62" s="109">
        <f t="shared" si="16"/>
        <v>0</v>
      </c>
      <c r="BB62" s="111"/>
      <c r="BC62" s="111"/>
      <c r="BD62" s="109"/>
      <c r="BE62" s="109"/>
      <c r="BF62" s="109">
        <f t="shared" si="17"/>
        <v>0</v>
      </c>
      <c r="BG62" s="111"/>
      <c r="BH62" s="111"/>
      <c r="BI62" s="110"/>
      <c r="BJ62" s="112"/>
      <c r="BK62" s="109">
        <f t="shared" si="18"/>
        <v>0</v>
      </c>
      <c r="BL62" s="111"/>
      <c r="BM62" s="111"/>
      <c r="BN62" s="109"/>
      <c r="BO62" s="109"/>
      <c r="BP62" s="109">
        <f t="shared" si="19"/>
        <v>0</v>
      </c>
      <c r="BQ62" s="111"/>
      <c r="BR62" s="111"/>
      <c r="BS62" s="110"/>
      <c r="BT62" s="167">
        <f t="shared" si="22"/>
        <v>3</v>
      </c>
      <c r="BU62" s="253" t="s">
        <v>374</v>
      </c>
      <c r="BV62" s="66"/>
      <c r="BW62" s="66"/>
      <c r="BX62" s="85"/>
      <c r="BY62" s="85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</row>
    <row r="63" spans="2:131" ht="43.5" customHeight="1" outlineLevel="1">
      <c r="B63" s="188" t="s">
        <v>168</v>
      </c>
      <c r="C63" s="200" t="s">
        <v>359</v>
      </c>
      <c r="D63" s="113"/>
      <c r="E63" s="114"/>
      <c r="F63" s="115"/>
      <c r="G63" s="116"/>
      <c r="H63" s="115"/>
      <c r="I63" s="117"/>
      <c r="J63" s="117"/>
      <c r="K63" s="118"/>
      <c r="L63" s="115"/>
      <c r="M63" s="117"/>
      <c r="N63" s="119"/>
      <c r="O63" s="119"/>
      <c r="P63" s="117"/>
      <c r="Q63" s="117"/>
      <c r="R63" s="117"/>
      <c r="S63" s="119"/>
      <c r="T63" s="119"/>
      <c r="U63" s="118"/>
      <c r="V63" s="120"/>
      <c r="W63" s="117"/>
      <c r="X63" s="119"/>
      <c r="Y63" s="119"/>
      <c r="Z63" s="117"/>
      <c r="AA63" s="120"/>
      <c r="AB63" s="117"/>
      <c r="AC63" s="119"/>
      <c r="AD63" s="119"/>
      <c r="AE63" s="118"/>
      <c r="AF63" s="120"/>
      <c r="AG63" s="117"/>
      <c r="AH63" s="119"/>
      <c r="AI63" s="119"/>
      <c r="AJ63" s="117"/>
      <c r="AK63" s="117"/>
      <c r="AL63" s="117"/>
      <c r="AM63" s="119"/>
      <c r="AN63" s="119"/>
      <c r="AO63" s="118"/>
      <c r="AP63" s="120"/>
      <c r="AQ63" s="117"/>
      <c r="AR63" s="119"/>
      <c r="AS63" s="119"/>
      <c r="AT63" s="117"/>
      <c r="AU63" s="117"/>
      <c r="AV63" s="117"/>
      <c r="AW63" s="119"/>
      <c r="AX63" s="119"/>
      <c r="AY63" s="118"/>
      <c r="AZ63" s="120"/>
      <c r="BA63" s="117"/>
      <c r="BB63" s="119"/>
      <c r="BC63" s="119"/>
      <c r="BD63" s="117"/>
      <c r="BE63" s="117"/>
      <c r="BF63" s="117"/>
      <c r="BG63" s="119"/>
      <c r="BH63" s="119"/>
      <c r="BI63" s="118"/>
      <c r="BJ63" s="120"/>
      <c r="BK63" s="117"/>
      <c r="BL63" s="119"/>
      <c r="BM63" s="119"/>
      <c r="BN63" s="117"/>
      <c r="BO63" s="117"/>
      <c r="BP63" s="117"/>
      <c r="BQ63" s="119"/>
      <c r="BR63" s="119"/>
      <c r="BS63" s="118"/>
      <c r="BT63" s="121"/>
      <c r="BU63" s="151"/>
      <c r="BV63" s="66"/>
      <c r="BW63" s="66"/>
      <c r="BX63" s="85"/>
      <c r="BY63" s="85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</row>
    <row r="64" spans="2:131" ht="20.25" outlineLevel="1">
      <c r="B64" s="170" t="s">
        <v>211</v>
      </c>
      <c r="C64" s="153" t="s">
        <v>73</v>
      </c>
      <c r="D64" s="104">
        <v>5</v>
      </c>
      <c r="E64" s="105">
        <v>4</v>
      </c>
      <c r="F64" s="107">
        <f>SUM(L64,Q64,V64,AA64,AF64,AK64,AP64,AU64,AZ64,BE64,BJ64,BO64)</f>
        <v>216</v>
      </c>
      <c r="G64" s="108">
        <f>SUM(H64:K64)</f>
        <v>103</v>
      </c>
      <c r="H64" s="107">
        <f>SUM(N64,S64,X64,AC64,AH64,AM64,AR64,AW64,BB64,BG64,BL64,BQ64)</f>
        <v>18</v>
      </c>
      <c r="I64" s="239"/>
      <c r="J64" s="109">
        <f>SUM(O64,T64,Y64,AD64,AI64,AN64,AS64,AX64,BC64,BH64,BM64,BR64)</f>
        <v>85</v>
      </c>
      <c r="K64" s="110"/>
      <c r="L64" s="107"/>
      <c r="M64" s="109">
        <f t="shared" si="4"/>
        <v>0</v>
      </c>
      <c r="N64" s="111"/>
      <c r="O64" s="111"/>
      <c r="P64" s="109"/>
      <c r="Q64" s="109"/>
      <c r="R64" s="109">
        <f t="shared" si="5"/>
        <v>0</v>
      </c>
      <c r="S64" s="111"/>
      <c r="T64" s="111"/>
      <c r="U64" s="110"/>
      <c r="V64" s="112"/>
      <c r="W64" s="109">
        <f t="shared" si="23"/>
        <v>0</v>
      </c>
      <c r="X64" s="111"/>
      <c r="Y64" s="111"/>
      <c r="Z64" s="109"/>
      <c r="AA64" s="109">
        <v>108</v>
      </c>
      <c r="AB64" s="109">
        <f t="shared" si="20"/>
        <v>48</v>
      </c>
      <c r="AC64" s="111">
        <v>8</v>
      </c>
      <c r="AD64" s="111">
        <v>40</v>
      </c>
      <c r="AE64" s="110">
        <v>3</v>
      </c>
      <c r="AF64" s="112">
        <v>108</v>
      </c>
      <c r="AG64" s="109">
        <f t="shared" si="12"/>
        <v>55</v>
      </c>
      <c r="AH64" s="111">
        <v>10</v>
      </c>
      <c r="AI64" s="111">
        <v>45</v>
      </c>
      <c r="AJ64" s="109">
        <v>3</v>
      </c>
      <c r="AK64" s="109"/>
      <c r="AL64" s="109">
        <f t="shared" si="13"/>
        <v>0</v>
      </c>
      <c r="AM64" s="111"/>
      <c r="AN64" s="111"/>
      <c r="AO64" s="110"/>
      <c r="AP64" s="112"/>
      <c r="AQ64" s="109">
        <f t="shared" si="21"/>
        <v>0</v>
      </c>
      <c r="AR64" s="111"/>
      <c r="AS64" s="111"/>
      <c r="AT64" s="109"/>
      <c r="AU64" s="109"/>
      <c r="AV64" s="109">
        <f t="shared" si="15"/>
        <v>0</v>
      </c>
      <c r="AW64" s="111"/>
      <c r="AX64" s="111"/>
      <c r="AY64" s="110"/>
      <c r="AZ64" s="112"/>
      <c r="BA64" s="109">
        <f t="shared" si="16"/>
        <v>0</v>
      </c>
      <c r="BB64" s="111"/>
      <c r="BC64" s="111"/>
      <c r="BD64" s="109"/>
      <c r="BE64" s="109"/>
      <c r="BF64" s="109">
        <f t="shared" si="17"/>
        <v>0</v>
      </c>
      <c r="BG64" s="111"/>
      <c r="BH64" s="111"/>
      <c r="BI64" s="110"/>
      <c r="BJ64" s="112"/>
      <c r="BK64" s="109">
        <f t="shared" si="18"/>
        <v>0</v>
      </c>
      <c r="BL64" s="111"/>
      <c r="BM64" s="111"/>
      <c r="BN64" s="109"/>
      <c r="BO64" s="109"/>
      <c r="BP64" s="109">
        <f t="shared" si="19"/>
        <v>0</v>
      </c>
      <c r="BQ64" s="111"/>
      <c r="BR64" s="111"/>
      <c r="BS64" s="110"/>
      <c r="BT64" s="167">
        <f t="shared" si="22"/>
        <v>6</v>
      </c>
      <c r="BU64" s="253" t="s">
        <v>375</v>
      </c>
      <c r="BV64" s="66"/>
      <c r="BW64" s="66"/>
      <c r="BX64" s="85"/>
      <c r="BY64" s="85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</row>
    <row r="65" spans="2:131" ht="20.25" outlineLevel="1">
      <c r="B65" s="170" t="s">
        <v>253</v>
      </c>
      <c r="C65" s="153" t="s">
        <v>243</v>
      </c>
      <c r="D65" s="104"/>
      <c r="E65" s="105" t="s">
        <v>219</v>
      </c>
      <c r="F65" s="107">
        <f>SUM(L65,Q65,V65,AA65,AF65,AK65,AP65,AU65,AZ65,BE65,BJ65,BO65)</f>
        <v>108</v>
      </c>
      <c r="G65" s="108">
        <f>SUM(H65:K65)</f>
        <v>50</v>
      </c>
      <c r="H65" s="107">
        <f>SUM(N65,S65,X65,AC65,AH65,AM65,AR65,AW65,BB65,BG65,BL65,BQ65)</f>
        <v>16</v>
      </c>
      <c r="I65" s="109"/>
      <c r="J65" s="109">
        <f>SUM(O65,T65,Y65,AD65,AI65,AN65,AS65,AX65,BC65,BH65,BM65,BR65)</f>
        <v>34</v>
      </c>
      <c r="K65" s="110"/>
      <c r="L65" s="107"/>
      <c r="M65" s="109">
        <f aca="true" t="shared" si="24" ref="M65:M96">SUM(N65:O65)</f>
        <v>0</v>
      </c>
      <c r="N65" s="111"/>
      <c r="O65" s="111"/>
      <c r="P65" s="109"/>
      <c r="Q65" s="109"/>
      <c r="R65" s="109">
        <f aca="true" t="shared" si="25" ref="R65:R96">SUM(S65:T65)</f>
        <v>0</v>
      </c>
      <c r="S65" s="111"/>
      <c r="T65" s="111"/>
      <c r="U65" s="110"/>
      <c r="V65" s="112"/>
      <c r="W65" s="109">
        <f t="shared" si="23"/>
        <v>0</v>
      </c>
      <c r="X65" s="111"/>
      <c r="Y65" s="111"/>
      <c r="Z65" s="109"/>
      <c r="AA65" s="109"/>
      <c r="AB65" s="109">
        <f t="shared" si="20"/>
        <v>0</v>
      </c>
      <c r="AC65" s="111"/>
      <c r="AD65" s="111"/>
      <c r="AE65" s="110"/>
      <c r="AF65" s="112"/>
      <c r="AG65" s="109">
        <f t="shared" si="12"/>
        <v>0</v>
      </c>
      <c r="AH65" s="111"/>
      <c r="AI65" s="111"/>
      <c r="AJ65" s="109"/>
      <c r="AK65" s="109">
        <v>108</v>
      </c>
      <c r="AL65" s="109">
        <f t="shared" si="13"/>
        <v>50</v>
      </c>
      <c r="AM65" s="111">
        <v>16</v>
      </c>
      <c r="AN65" s="111">
        <v>34</v>
      </c>
      <c r="AO65" s="110">
        <v>3</v>
      </c>
      <c r="AP65" s="112"/>
      <c r="AQ65" s="109">
        <f t="shared" si="21"/>
        <v>0</v>
      </c>
      <c r="AR65" s="111"/>
      <c r="AS65" s="111"/>
      <c r="AT65" s="109"/>
      <c r="AU65" s="109"/>
      <c r="AV65" s="109">
        <f t="shared" si="15"/>
        <v>0</v>
      </c>
      <c r="AW65" s="111"/>
      <c r="AX65" s="111"/>
      <c r="AY65" s="110"/>
      <c r="AZ65" s="112"/>
      <c r="BA65" s="109">
        <f t="shared" si="16"/>
        <v>0</v>
      </c>
      <c r="BB65" s="111"/>
      <c r="BC65" s="111"/>
      <c r="BD65" s="109"/>
      <c r="BE65" s="109"/>
      <c r="BF65" s="109">
        <f t="shared" si="17"/>
        <v>0</v>
      </c>
      <c r="BG65" s="111"/>
      <c r="BH65" s="111"/>
      <c r="BI65" s="110"/>
      <c r="BJ65" s="112"/>
      <c r="BK65" s="109">
        <f t="shared" si="18"/>
        <v>0</v>
      </c>
      <c r="BL65" s="111"/>
      <c r="BM65" s="111"/>
      <c r="BN65" s="109"/>
      <c r="BO65" s="109"/>
      <c r="BP65" s="109">
        <f t="shared" si="19"/>
        <v>0</v>
      </c>
      <c r="BQ65" s="111"/>
      <c r="BR65" s="111"/>
      <c r="BS65" s="110"/>
      <c r="BT65" s="167">
        <f t="shared" si="22"/>
        <v>3</v>
      </c>
      <c r="BU65" s="253" t="s">
        <v>387</v>
      </c>
      <c r="BV65" s="66"/>
      <c r="BW65" s="66"/>
      <c r="BX65" s="85"/>
      <c r="BY65" s="85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</row>
    <row r="66" spans="2:131" ht="39" outlineLevel="1">
      <c r="B66" s="188" t="s">
        <v>254</v>
      </c>
      <c r="C66" s="200" t="s">
        <v>227</v>
      </c>
      <c r="D66" s="113"/>
      <c r="E66" s="114"/>
      <c r="F66" s="115"/>
      <c r="G66" s="202"/>
      <c r="H66" s="203"/>
      <c r="I66" s="232"/>
      <c r="J66" s="193"/>
      <c r="K66" s="205"/>
      <c r="L66" s="115"/>
      <c r="M66" s="117"/>
      <c r="N66" s="119"/>
      <c r="O66" s="119"/>
      <c r="P66" s="117"/>
      <c r="Q66" s="120"/>
      <c r="R66" s="117"/>
      <c r="S66" s="119"/>
      <c r="T66" s="119"/>
      <c r="U66" s="118"/>
      <c r="V66" s="120"/>
      <c r="W66" s="117"/>
      <c r="X66" s="119"/>
      <c r="Y66" s="119"/>
      <c r="Z66" s="117"/>
      <c r="AA66" s="117"/>
      <c r="AB66" s="117"/>
      <c r="AC66" s="119"/>
      <c r="AD66" s="119"/>
      <c r="AE66" s="118"/>
      <c r="AF66" s="120"/>
      <c r="AG66" s="117"/>
      <c r="AH66" s="119"/>
      <c r="AI66" s="119"/>
      <c r="AJ66" s="117"/>
      <c r="AK66" s="117"/>
      <c r="AL66" s="117"/>
      <c r="AM66" s="119"/>
      <c r="AN66" s="119"/>
      <c r="AO66" s="118"/>
      <c r="AP66" s="233"/>
      <c r="AQ66" s="117"/>
      <c r="AR66" s="234"/>
      <c r="AS66" s="234"/>
      <c r="AT66" s="235"/>
      <c r="AU66" s="234"/>
      <c r="AV66" s="117"/>
      <c r="AW66" s="234"/>
      <c r="AX66" s="234"/>
      <c r="AY66" s="236"/>
      <c r="AZ66" s="120"/>
      <c r="BA66" s="117"/>
      <c r="BB66" s="119"/>
      <c r="BC66" s="119"/>
      <c r="BD66" s="117"/>
      <c r="BE66" s="117"/>
      <c r="BF66" s="117"/>
      <c r="BG66" s="119"/>
      <c r="BH66" s="119"/>
      <c r="BI66" s="118"/>
      <c r="BJ66" s="120"/>
      <c r="BK66" s="117"/>
      <c r="BL66" s="119"/>
      <c r="BM66" s="119"/>
      <c r="BN66" s="117"/>
      <c r="BO66" s="120"/>
      <c r="BP66" s="117"/>
      <c r="BQ66" s="119"/>
      <c r="BR66" s="119"/>
      <c r="BS66" s="118"/>
      <c r="BT66" s="121"/>
      <c r="BU66" s="187"/>
      <c r="BV66" s="66"/>
      <c r="BW66" s="66"/>
      <c r="BX66" s="85"/>
      <c r="BY66" s="85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</row>
    <row r="67" spans="2:131" ht="20.25" outlineLevel="1">
      <c r="B67" s="170" t="s">
        <v>255</v>
      </c>
      <c r="C67" s="153" t="s">
        <v>229</v>
      </c>
      <c r="D67" s="104">
        <v>5</v>
      </c>
      <c r="E67" s="105"/>
      <c r="F67" s="107">
        <f>SUM(L67,Q67,V67,AA67,AF67,AK67,AP67,AU67,AZ67,BE67,BJ67,BO67)</f>
        <v>108</v>
      </c>
      <c r="G67" s="196">
        <f>SUM(H67:K67)</f>
        <v>72</v>
      </c>
      <c r="H67" s="172">
        <f>SUM(N67,S67,X67,AC67,AH67,AM67,AR67,AW67,BB67,BG67,BL67,BQ67)</f>
        <v>18</v>
      </c>
      <c r="I67" s="173"/>
      <c r="J67" s="174">
        <f>SUM(O67,T67,Y67,AD67,AI67,AN67,AS67,AX67,BC67,BH67,BM67,BR67)</f>
        <v>54</v>
      </c>
      <c r="K67" s="175"/>
      <c r="L67" s="107"/>
      <c r="M67" s="109">
        <f t="shared" si="24"/>
        <v>0</v>
      </c>
      <c r="N67" s="111"/>
      <c r="O67" s="111"/>
      <c r="P67" s="109"/>
      <c r="Q67" s="112"/>
      <c r="R67" s="109">
        <f t="shared" si="25"/>
        <v>0</v>
      </c>
      <c r="S67" s="111"/>
      <c r="T67" s="111"/>
      <c r="U67" s="110"/>
      <c r="V67" s="177"/>
      <c r="W67" s="109">
        <f t="shared" si="23"/>
        <v>0</v>
      </c>
      <c r="X67" s="176"/>
      <c r="Y67" s="176"/>
      <c r="Z67" s="109"/>
      <c r="AA67" s="177"/>
      <c r="AB67" s="109">
        <f t="shared" si="20"/>
        <v>0</v>
      </c>
      <c r="AC67" s="176"/>
      <c r="AD67" s="176"/>
      <c r="AE67" s="110"/>
      <c r="AF67" s="177">
        <v>108</v>
      </c>
      <c r="AG67" s="109">
        <f t="shared" si="12"/>
        <v>72</v>
      </c>
      <c r="AH67" s="176">
        <v>18</v>
      </c>
      <c r="AI67" s="176">
        <v>54</v>
      </c>
      <c r="AJ67" s="109">
        <v>3</v>
      </c>
      <c r="AK67" s="109"/>
      <c r="AL67" s="109">
        <f t="shared" si="13"/>
        <v>0</v>
      </c>
      <c r="AM67" s="111"/>
      <c r="AN67" s="111"/>
      <c r="AO67" s="110"/>
      <c r="AP67" s="237"/>
      <c r="AQ67" s="109">
        <f t="shared" si="21"/>
        <v>0</v>
      </c>
      <c r="AR67" s="238"/>
      <c r="AS67" s="238"/>
      <c r="AT67" s="239"/>
      <c r="AU67" s="238"/>
      <c r="AV67" s="109">
        <f t="shared" si="15"/>
        <v>0</v>
      </c>
      <c r="AW67" s="238"/>
      <c r="AX67" s="238"/>
      <c r="AY67" s="240"/>
      <c r="AZ67" s="112"/>
      <c r="BA67" s="109">
        <f t="shared" si="16"/>
        <v>0</v>
      </c>
      <c r="BB67" s="111"/>
      <c r="BC67" s="111"/>
      <c r="BD67" s="109"/>
      <c r="BE67" s="109"/>
      <c r="BF67" s="109">
        <f t="shared" si="17"/>
        <v>0</v>
      </c>
      <c r="BG67" s="111"/>
      <c r="BH67" s="111"/>
      <c r="BI67" s="110"/>
      <c r="BJ67" s="112"/>
      <c r="BK67" s="109">
        <f t="shared" si="18"/>
        <v>0</v>
      </c>
      <c r="BL67" s="111"/>
      <c r="BM67" s="111"/>
      <c r="BN67" s="109"/>
      <c r="BO67" s="112"/>
      <c r="BP67" s="109">
        <f t="shared" si="19"/>
        <v>0</v>
      </c>
      <c r="BQ67" s="111"/>
      <c r="BR67" s="111"/>
      <c r="BS67" s="110"/>
      <c r="BT67" s="167">
        <f t="shared" si="22"/>
        <v>3</v>
      </c>
      <c r="BU67" s="156" t="s">
        <v>323</v>
      </c>
      <c r="BV67" s="66"/>
      <c r="BW67" s="66"/>
      <c r="BX67" s="85"/>
      <c r="BY67" s="85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</row>
    <row r="68" spans="2:131" ht="46.5" customHeight="1" outlineLevel="1">
      <c r="B68" s="170" t="s">
        <v>260</v>
      </c>
      <c r="C68" s="153" t="s">
        <v>228</v>
      </c>
      <c r="D68" s="104"/>
      <c r="E68" s="105">
        <v>5</v>
      </c>
      <c r="F68" s="107">
        <f>SUM(L68,Q68,V68,AA68,AF68,AK68,AP68,AU68,AZ68,BE68,BJ68,BO68)</f>
        <v>110</v>
      </c>
      <c r="G68" s="196">
        <f>SUM(H68:K68)</f>
        <v>73</v>
      </c>
      <c r="H68" s="172">
        <f>SUM(N68,S68,X68,AC68,AH68,AM68,AR68,AW68,BB68,BG68,BL68,BQ68)</f>
        <v>10</v>
      </c>
      <c r="I68" s="173"/>
      <c r="J68" s="174">
        <f>SUM(O68,T68,Y68,AD68,AI68,AN68,AS68,AX68,BC68,BH68,BM68,BR68)</f>
        <v>63</v>
      </c>
      <c r="K68" s="175"/>
      <c r="L68" s="107"/>
      <c r="M68" s="109">
        <f t="shared" si="24"/>
        <v>0</v>
      </c>
      <c r="N68" s="111"/>
      <c r="O68" s="111"/>
      <c r="P68" s="109"/>
      <c r="Q68" s="112"/>
      <c r="R68" s="109">
        <f t="shared" si="25"/>
        <v>0</v>
      </c>
      <c r="S68" s="111"/>
      <c r="T68" s="111"/>
      <c r="U68" s="110"/>
      <c r="V68" s="112"/>
      <c r="W68" s="109">
        <f t="shared" si="23"/>
        <v>0</v>
      </c>
      <c r="X68" s="111"/>
      <c r="Y68" s="111"/>
      <c r="Z68" s="109"/>
      <c r="AA68" s="109"/>
      <c r="AB68" s="109">
        <f t="shared" si="20"/>
        <v>0</v>
      </c>
      <c r="AC68" s="111"/>
      <c r="AD68" s="111"/>
      <c r="AE68" s="110"/>
      <c r="AF68" s="174">
        <v>110</v>
      </c>
      <c r="AG68" s="109">
        <f t="shared" si="12"/>
        <v>73</v>
      </c>
      <c r="AH68" s="176">
        <v>10</v>
      </c>
      <c r="AI68" s="176">
        <v>63</v>
      </c>
      <c r="AJ68" s="109">
        <v>3</v>
      </c>
      <c r="AK68" s="177"/>
      <c r="AL68" s="109">
        <f t="shared" si="13"/>
        <v>0</v>
      </c>
      <c r="AM68" s="176"/>
      <c r="AN68" s="176"/>
      <c r="AO68" s="110"/>
      <c r="AP68" s="237"/>
      <c r="AQ68" s="109">
        <f t="shared" si="21"/>
        <v>0</v>
      </c>
      <c r="AR68" s="238"/>
      <c r="AS68" s="238"/>
      <c r="AT68" s="239"/>
      <c r="AU68" s="238"/>
      <c r="AV68" s="109">
        <f t="shared" si="15"/>
        <v>0</v>
      </c>
      <c r="AW68" s="238"/>
      <c r="AX68" s="238"/>
      <c r="AY68" s="240"/>
      <c r="AZ68" s="112"/>
      <c r="BA68" s="109">
        <f t="shared" si="16"/>
        <v>0</v>
      </c>
      <c r="BB68" s="111"/>
      <c r="BC68" s="111"/>
      <c r="BD68" s="109"/>
      <c r="BE68" s="109"/>
      <c r="BF68" s="109">
        <f t="shared" si="17"/>
        <v>0</v>
      </c>
      <c r="BG68" s="111"/>
      <c r="BH68" s="111"/>
      <c r="BI68" s="110"/>
      <c r="BJ68" s="112"/>
      <c r="BK68" s="109">
        <f t="shared" si="18"/>
        <v>0</v>
      </c>
      <c r="BL68" s="111"/>
      <c r="BM68" s="111"/>
      <c r="BN68" s="109"/>
      <c r="BO68" s="112"/>
      <c r="BP68" s="109">
        <f t="shared" si="19"/>
        <v>0</v>
      </c>
      <c r="BQ68" s="111"/>
      <c r="BR68" s="111"/>
      <c r="BS68" s="110"/>
      <c r="BT68" s="167">
        <f t="shared" si="22"/>
        <v>3</v>
      </c>
      <c r="BU68" s="156" t="s">
        <v>324</v>
      </c>
      <c r="BV68" s="66"/>
      <c r="BW68" s="66"/>
      <c r="BX68" s="85"/>
      <c r="BY68" s="85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</row>
    <row r="69" spans="2:131" ht="39" outlineLevel="1">
      <c r="B69" s="188" t="s">
        <v>261</v>
      </c>
      <c r="C69" s="200" t="s">
        <v>358</v>
      </c>
      <c r="D69" s="113"/>
      <c r="E69" s="114"/>
      <c r="F69" s="115"/>
      <c r="G69" s="116"/>
      <c r="H69" s="115"/>
      <c r="I69" s="117"/>
      <c r="J69" s="117"/>
      <c r="K69" s="118"/>
      <c r="L69" s="115"/>
      <c r="M69" s="117"/>
      <c r="N69" s="119"/>
      <c r="O69" s="119"/>
      <c r="P69" s="117"/>
      <c r="Q69" s="117"/>
      <c r="R69" s="117"/>
      <c r="S69" s="119"/>
      <c r="T69" s="119"/>
      <c r="U69" s="118"/>
      <c r="V69" s="120"/>
      <c r="W69" s="117"/>
      <c r="X69" s="119"/>
      <c r="Y69" s="119"/>
      <c r="Z69" s="117"/>
      <c r="AA69" s="120"/>
      <c r="AB69" s="117"/>
      <c r="AC69" s="119"/>
      <c r="AD69" s="119"/>
      <c r="AE69" s="118"/>
      <c r="AF69" s="120"/>
      <c r="AG69" s="117"/>
      <c r="AH69" s="119"/>
      <c r="AI69" s="119"/>
      <c r="AJ69" s="117"/>
      <c r="AK69" s="117"/>
      <c r="AL69" s="117"/>
      <c r="AM69" s="119"/>
      <c r="AN69" s="119"/>
      <c r="AO69" s="118"/>
      <c r="AP69" s="120"/>
      <c r="AQ69" s="117"/>
      <c r="AR69" s="119"/>
      <c r="AS69" s="119"/>
      <c r="AT69" s="117"/>
      <c r="AU69" s="117"/>
      <c r="AV69" s="117"/>
      <c r="AW69" s="119"/>
      <c r="AX69" s="119"/>
      <c r="AY69" s="118"/>
      <c r="AZ69" s="120"/>
      <c r="BA69" s="117"/>
      <c r="BB69" s="119"/>
      <c r="BC69" s="119"/>
      <c r="BD69" s="117"/>
      <c r="BE69" s="117"/>
      <c r="BF69" s="117"/>
      <c r="BG69" s="119"/>
      <c r="BH69" s="119"/>
      <c r="BI69" s="118"/>
      <c r="BJ69" s="120"/>
      <c r="BK69" s="117"/>
      <c r="BL69" s="119"/>
      <c r="BM69" s="119"/>
      <c r="BN69" s="117"/>
      <c r="BO69" s="117"/>
      <c r="BP69" s="117"/>
      <c r="BQ69" s="119"/>
      <c r="BR69" s="119"/>
      <c r="BS69" s="118"/>
      <c r="BT69" s="121"/>
      <c r="BU69" s="254"/>
      <c r="BV69" s="69">
        <f>SUM(BT70:BT74)</f>
        <v>18</v>
      </c>
      <c r="BW69" s="66"/>
      <c r="BX69" s="85"/>
      <c r="BY69" s="85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</row>
    <row r="70" spans="2:131" ht="20.25" outlineLevel="1">
      <c r="B70" s="170" t="s">
        <v>262</v>
      </c>
      <c r="C70" s="153" t="s">
        <v>79</v>
      </c>
      <c r="D70" s="104"/>
      <c r="E70" s="105" t="s">
        <v>251</v>
      </c>
      <c r="F70" s="107">
        <f aca="true" t="shared" si="26" ref="F70:F78">SUM(L70,Q70,V70,AA70,AF70,AK70,AP70,AU70,AZ70,BE70,BJ70,BO70)</f>
        <v>108</v>
      </c>
      <c r="G70" s="108">
        <f aca="true" t="shared" si="27" ref="G70:G78">SUM(H70:K70)</f>
        <v>53</v>
      </c>
      <c r="H70" s="107">
        <f aca="true" t="shared" si="28" ref="H70:H78">SUM(N70,S70,X70,AC70,AH70,AM70,AR70,AW70,BB70,BG70,BL70,BQ70)</f>
        <v>10</v>
      </c>
      <c r="I70" s="109"/>
      <c r="J70" s="109">
        <f>SUM(O70,T70,Y70,AD70,AI70,AN70,AS70,AX70,BC70,BH70,BM70,BR70)</f>
        <v>43</v>
      </c>
      <c r="K70" s="110"/>
      <c r="L70" s="107"/>
      <c r="M70" s="109">
        <f t="shared" si="24"/>
        <v>0</v>
      </c>
      <c r="N70" s="111"/>
      <c r="O70" s="111"/>
      <c r="P70" s="109"/>
      <c r="Q70" s="109"/>
      <c r="R70" s="109">
        <f t="shared" si="25"/>
        <v>0</v>
      </c>
      <c r="S70" s="111"/>
      <c r="T70" s="111"/>
      <c r="U70" s="110"/>
      <c r="V70" s="112"/>
      <c r="W70" s="109">
        <f t="shared" si="23"/>
        <v>0</v>
      </c>
      <c r="X70" s="111"/>
      <c r="Y70" s="111"/>
      <c r="Z70" s="109"/>
      <c r="AA70" s="109"/>
      <c r="AB70" s="109">
        <f t="shared" si="20"/>
        <v>0</v>
      </c>
      <c r="AC70" s="111"/>
      <c r="AD70" s="111"/>
      <c r="AE70" s="110"/>
      <c r="AF70" s="112">
        <v>108</v>
      </c>
      <c r="AG70" s="109">
        <f t="shared" si="12"/>
        <v>53</v>
      </c>
      <c r="AH70" s="111">
        <v>10</v>
      </c>
      <c r="AI70" s="111">
        <v>43</v>
      </c>
      <c r="AJ70" s="109">
        <v>3</v>
      </c>
      <c r="AK70" s="112"/>
      <c r="AL70" s="109">
        <f t="shared" si="13"/>
        <v>0</v>
      </c>
      <c r="AM70" s="111"/>
      <c r="AN70" s="111"/>
      <c r="AO70" s="110"/>
      <c r="AP70" s="112"/>
      <c r="AQ70" s="109">
        <f t="shared" si="21"/>
        <v>0</v>
      </c>
      <c r="AR70" s="111"/>
      <c r="AS70" s="111"/>
      <c r="AT70" s="109"/>
      <c r="AU70" s="109">
        <f>AV70*1.6</f>
        <v>0</v>
      </c>
      <c r="AV70" s="109">
        <f t="shared" si="15"/>
        <v>0</v>
      </c>
      <c r="AW70" s="111"/>
      <c r="AX70" s="111"/>
      <c r="AY70" s="110">
        <f>AU70/36</f>
        <v>0</v>
      </c>
      <c r="AZ70" s="112"/>
      <c r="BA70" s="109">
        <f t="shared" si="16"/>
        <v>0</v>
      </c>
      <c r="BB70" s="111"/>
      <c r="BC70" s="111"/>
      <c r="BD70" s="109"/>
      <c r="BE70" s="109"/>
      <c r="BF70" s="109">
        <f t="shared" si="17"/>
        <v>0</v>
      </c>
      <c r="BG70" s="111"/>
      <c r="BH70" s="111"/>
      <c r="BI70" s="110"/>
      <c r="BJ70" s="112"/>
      <c r="BK70" s="109">
        <f t="shared" si="18"/>
        <v>0</v>
      </c>
      <c r="BL70" s="111"/>
      <c r="BM70" s="111"/>
      <c r="BN70" s="109"/>
      <c r="BO70" s="109"/>
      <c r="BP70" s="109">
        <f t="shared" si="19"/>
        <v>0</v>
      </c>
      <c r="BQ70" s="111"/>
      <c r="BR70" s="111"/>
      <c r="BS70" s="110"/>
      <c r="BT70" s="167">
        <f t="shared" si="22"/>
        <v>3</v>
      </c>
      <c r="BU70" s="253" t="s">
        <v>325</v>
      </c>
      <c r="BV70" s="66"/>
      <c r="BW70" s="66"/>
      <c r="BX70" s="85"/>
      <c r="BY70" s="85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</row>
    <row r="71" spans="2:131" ht="20.25" outlineLevel="1">
      <c r="B71" s="170" t="s">
        <v>263</v>
      </c>
      <c r="C71" s="153" t="s">
        <v>81</v>
      </c>
      <c r="D71" s="104"/>
      <c r="E71" s="105">
        <v>9</v>
      </c>
      <c r="F71" s="107">
        <f t="shared" si="26"/>
        <v>108</v>
      </c>
      <c r="G71" s="108">
        <f t="shared" si="27"/>
        <v>40</v>
      </c>
      <c r="H71" s="107">
        <f t="shared" si="28"/>
        <v>4</v>
      </c>
      <c r="I71" s="109"/>
      <c r="J71" s="109">
        <f>SUM(O71,T71,Y71,AD71,AI71,AN71,AS71,AX71,BC71,BH71,BM71,BR71)</f>
        <v>36</v>
      </c>
      <c r="K71" s="110"/>
      <c r="L71" s="107"/>
      <c r="M71" s="109">
        <f t="shared" si="24"/>
        <v>0</v>
      </c>
      <c r="N71" s="111"/>
      <c r="O71" s="111"/>
      <c r="P71" s="109"/>
      <c r="Q71" s="109"/>
      <c r="R71" s="109">
        <f t="shared" si="25"/>
        <v>0</v>
      </c>
      <c r="S71" s="111"/>
      <c r="T71" s="111"/>
      <c r="U71" s="110"/>
      <c r="V71" s="112"/>
      <c r="W71" s="109">
        <f t="shared" si="23"/>
        <v>0</v>
      </c>
      <c r="X71" s="111"/>
      <c r="Y71" s="111"/>
      <c r="Z71" s="109"/>
      <c r="AA71" s="109"/>
      <c r="AB71" s="109">
        <f t="shared" si="20"/>
        <v>0</v>
      </c>
      <c r="AC71" s="111"/>
      <c r="AD71" s="111"/>
      <c r="AE71" s="110"/>
      <c r="AF71" s="112"/>
      <c r="AG71" s="109">
        <f t="shared" si="12"/>
        <v>0</v>
      </c>
      <c r="AH71" s="111"/>
      <c r="AI71" s="111"/>
      <c r="AJ71" s="109"/>
      <c r="AK71" s="109"/>
      <c r="AL71" s="109">
        <f t="shared" si="13"/>
        <v>0</v>
      </c>
      <c r="AM71" s="111"/>
      <c r="AN71" s="111"/>
      <c r="AO71" s="110"/>
      <c r="AP71" s="112"/>
      <c r="AQ71" s="109">
        <f t="shared" si="21"/>
        <v>0</v>
      </c>
      <c r="AR71" s="111"/>
      <c r="AS71" s="111"/>
      <c r="AT71" s="109"/>
      <c r="AU71" s="109"/>
      <c r="AV71" s="109">
        <f t="shared" si="15"/>
        <v>0</v>
      </c>
      <c r="AW71" s="111"/>
      <c r="AX71" s="111"/>
      <c r="AY71" s="110"/>
      <c r="AZ71" s="112">
        <v>108</v>
      </c>
      <c r="BA71" s="109">
        <f t="shared" si="16"/>
        <v>40</v>
      </c>
      <c r="BB71" s="111">
        <v>4</v>
      </c>
      <c r="BC71" s="111">
        <v>36</v>
      </c>
      <c r="BD71" s="109">
        <v>3</v>
      </c>
      <c r="BE71" s="112"/>
      <c r="BF71" s="109">
        <f t="shared" si="17"/>
        <v>0</v>
      </c>
      <c r="BG71" s="111"/>
      <c r="BH71" s="111"/>
      <c r="BI71" s="110"/>
      <c r="BJ71" s="112"/>
      <c r="BK71" s="109">
        <f t="shared" si="18"/>
        <v>0</v>
      </c>
      <c r="BL71" s="111"/>
      <c r="BM71" s="111"/>
      <c r="BN71" s="109"/>
      <c r="BO71" s="109"/>
      <c r="BP71" s="109">
        <f t="shared" si="19"/>
        <v>0</v>
      </c>
      <c r="BQ71" s="111"/>
      <c r="BR71" s="111"/>
      <c r="BS71" s="110"/>
      <c r="BT71" s="167">
        <f t="shared" si="22"/>
        <v>3</v>
      </c>
      <c r="BU71" s="253" t="s">
        <v>376</v>
      </c>
      <c r="BV71" s="66"/>
      <c r="BW71" s="66"/>
      <c r="BX71" s="85">
        <f>BM71/7</f>
        <v>0</v>
      </c>
      <c r="BY71" s="85">
        <f>BR71/7</f>
        <v>0</v>
      </c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</row>
    <row r="72" spans="2:131" ht="101.25" customHeight="1" outlineLevel="1">
      <c r="B72" s="170" t="s">
        <v>264</v>
      </c>
      <c r="C72" s="153" t="s">
        <v>247</v>
      </c>
      <c r="D72" s="104">
        <v>9</v>
      </c>
      <c r="E72" s="105">
        <v>8</v>
      </c>
      <c r="F72" s="107">
        <f t="shared" si="26"/>
        <v>216</v>
      </c>
      <c r="G72" s="108">
        <f t="shared" si="27"/>
        <v>105</v>
      </c>
      <c r="H72" s="107">
        <f t="shared" si="28"/>
        <v>22</v>
      </c>
      <c r="I72" s="109"/>
      <c r="J72" s="109">
        <f>SUM(O72,T72,Y72,AD72,AI72,AN72,AS72,AX72,BC72,BH72,BM72,BR72)</f>
        <v>83</v>
      </c>
      <c r="K72" s="110"/>
      <c r="L72" s="107"/>
      <c r="M72" s="109">
        <f t="shared" si="24"/>
        <v>0</v>
      </c>
      <c r="N72" s="111"/>
      <c r="O72" s="111"/>
      <c r="P72" s="109"/>
      <c r="Q72" s="109"/>
      <c r="R72" s="109">
        <f t="shared" si="25"/>
        <v>0</v>
      </c>
      <c r="S72" s="111"/>
      <c r="T72" s="111"/>
      <c r="U72" s="110"/>
      <c r="V72" s="112"/>
      <c r="W72" s="109">
        <f t="shared" si="23"/>
        <v>0</v>
      </c>
      <c r="X72" s="111"/>
      <c r="Y72" s="111"/>
      <c r="Z72" s="109"/>
      <c r="AA72" s="109"/>
      <c r="AB72" s="109">
        <f t="shared" si="20"/>
        <v>0</v>
      </c>
      <c r="AC72" s="111"/>
      <c r="AD72" s="111"/>
      <c r="AE72" s="110"/>
      <c r="AF72" s="112"/>
      <c r="AG72" s="109">
        <f t="shared" si="12"/>
        <v>0</v>
      </c>
      <c r="AH72" s="111"/>
      <c r="AI72" s="111"/>
      <c r="AJ72" s="109"/>
      <c r="AK72" s="109"/>
      <c r="AL72" s="109">
        <f t="shared" si="13"/>
        <v>0</v>
      </c>
      <c r="AM72" s="111"/>
      <c r="AN72" s="111"/>
      <c r="AO72" s="110"/>
      <c r="AP72" s="112"/>
      <c r="AQ72" s="109">
        <f t="shared" si="21"/>
        <v>0</v>
      </c>
      <c r="AR72" s="111"/>
      <c r="AS72" s="111"/>
      <c r="AT72" s="109"/>
      <c r="AU72" s="112">
        <v>108</v>
      </c>
      <c r="AV72" s="109">
        <f t="shared" si="15"/>
        <v>45</v>
      </c>
      <c r="AW72" s="111">
        <v>10</v>
      </c>
      <c r="AX72" s="111">
        <v>35</v>
      </c>
      <c r="AY72" s="110">
        <v>3</v>
      </c>
      <c r="AZ72" s="109">
        <v>108</v>
      </c>
      <c r="BA72" s="109">
        <f t="shared" si="16"/>
        <v>60</v>
      </c>
      <c r="BB72" s="111">
        <v>12</v>
      </c>
      <c r="BC72" s="111">
        <v>48</v>
      </c>
      <c r="BD72" s="109">
        <v>3</v>
      </c>
      <c r="BE72" s="112"/>
      <c r="BF72" s="109">
        <f t="shared" si="17"/>
        <v>0</v>
      </c>
      <c r="BG72" s="111"/>
      <c r="BH72" s="111"/>
      <c r="BI72" s="110"/>
      <c r="BJ72" s="112"/>
      <c r="BK72" s="109">
        <f t="shared" si="18"/>
        <v>0</v>
      </c>
      <c r="BL72" s="111"/>
      <c r="BM72" s="111"/>
      <c r="BN72" s="109"/>
      <c r="BO72" s="109"/>
      <c r="BP72" s="109">
        <f t="shared" si="19"/>
        <v>0</v>
      </c>
      <c r="BQ72" s="111"/>
      <c r="BR72" s="111"/>
      <c r="BS72" s="110"/>
      <c r="BT72" s="167">
        <f t="shared" si="22"/>
        <v>6</v>
      </c>
      <c r="BU72" s="253" t="s">
        <v>378</v>
      </c>
      <c r="BV72" s="66"/>
      <c r="BW72" s="66"/>
      <c r="BX72" s="85">
        <f>BM72/7</f>
        <v>0</v>
      </c>
      <c r="BY72" s="85">
        <f>BR72/7</f>
        <v>0</v>
      </c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</row>
    <row r="73" spans="2:131" ht="60.75" customHeight="1" outlineLevel="1">
      <c r="B73" s="170" t="s">
        <v>484</v>
      </c>
      <c r="C73" s="153" t="s">
        <v>347</v>
      </c>
      <c r="D73" s="104"/>
      <c r="E73" s="105">
        <v>12</v>
      </c>
      <c r="F73" s="107">
        <f t="shared" si="26"/>
        <v>108</v>
      </c>
      <c r="G73" s="108">
        <f t="shared" si="27"/>
        <v>42</v>
      </c>
      <c r="H73" s="107">
        <f t="shared" si="28"/>
        <v>6</v>
      </c>
      <c r="I73" s="109"/>
      <c r="J73" s="109">
        <f>SUM(O73,T73,Y73,AD73,AI73,AN73,AS73,AX73,BC73,BH73,BM73,BR73)</f>
        <v>36</v>
      </c>
      <c r="K73" s="110"/>
      <c r="L73" s="107"/>
      <c r="M73" s="109">
        <f t="shared" si="24"/>
        <v>0</v>
      </c>
      <c r="N73" s="111"/>
      <c r="O73" s="111"/>
      <c r="P73" s="109"/>
      <c r="Q73" s="109"/>
      <c r="R73" s="109">
        <f t="shared" si="25"/>
        <v>0</v>
      </c>
      <c r="S73" s="111"/>
      <c r="T73" s="111"/>
      <c r="U73" s="110"/>
      <c r="V73" s="112"/>
      <c r="W73" s="109">
        <f t="shared" si="23"/>
        <v>0</v>
      </c>
      <c r="X73" s="111"/>
      <c r="Y73" s="111"/>
      <c r="Z73" s="109"/>
      <c r="AA73" s="109"/>
      <c r="AB73" s="109">
        <f t="shared" si="20"/>
        <v>0</v>
      </c>
      <c r="AC73" s="111"/>
      <c r="AD73" s="111"/>
      <c r="AE73" s="110"/>
      <c r="AF73" s="112"/>
      <c r="AG73" s="109">
        <f t="shared" si="12"/>
        <v>0</v>
      </c>
      <c r="AH73" s="111"/>
      <c r="AI73" s="111"/>
      <c r="AJ73" s="109"/>
      <c r="AK73" s="112"/>
      <c r="AL73" s="109">
        <f t="shared" si="13"/>
        <v>0</v>
      </c>
      <c r="AM73" s="111"/>
      <c r="AN73" s="111"/>
      <c r="AO73" s="110"/>
      <c r="AP73" s="112"/>
      <c r="AQ73" s="109">
        <f t="shared" si="21"/>
        <v>0</v>
      </c>
      <c r="AR73" s="111"/>
      <c r="AS73" s="111"/>
      <c r="AT73" s="109"/>
      <c r="AU73" s="109"/>
      <c r="AV73" s="109">
        <f t="shared" si="15"/>
        <v>0</v>
      </c>
      <c r="AW73" s="111"/>
      <c r="AX73" s="111"/>
      <c r="AY73" s="110"/>
      <c r="AZ73" s="112"/>
      <c r="BA73" s="109">
        <f t="shared" si="16"/>
        <v>0</v>
      </c>
      <c r="BB73" s="111"/>
      <c r="BC73" s="111"/>
      <c r="BD73" s="109"/>
      <c r="BE73" s="109"/>
      <c r="BF73" s="109">
        <f t="shared" si="17"/>
        <v>0</v>
      </c>
      <c r="BG73" s="111"/>
      <c r="BH73" s="111"/>
      <c r="BI73" s="110"/>
      <c r="BJ73" s="112"/>
      <c r="BK73" s="109">
        <f t="shared" si="18"/>
        <v>0</v>
      </c>
      <c r="BL73" s="111"/>
      <c r="BM73" s="111"/>
      <c r="BN73" s="109"/>
      <c r="BO73" s="109">
        <v>108</v>
      </c>
      <c r="BP73" s="109">
        <f t="shared" si="19"/>
        <v>42</v>
      </c>
      <c r="BQ73" s="111">
        <v>6</v>
      </c>
      <c r="BR73" s="111">
        <v>36</v>
      </c>
      <c r="BS73" s="110">
        <v>3</v>
      </c>
      <c r="BT73" s="167">
        <f t="shared" si="22"/>
        <v>3</v>
      </c>
      <c r="BU73" s="253" t="s">
        <v>379</v>
      </c>
      <c r="BV73" s="66"/>
      <c r="BW73" s="66"/>
      <c r="BX73" s="85">
        <f>BM73/7</f>
        <v>0</v>
      </c>
      <c r="BY73" s="85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</row>
    <row r="74" spans="2:131" ht="20.25" outlineLevel="1">
      <c r="B74" s="170" t="s">
        <v>485</v>
      </c>
      <c r="C74" s="153" t="s">
        <v>76</v>
      </c>
      <c r="D74" s="104"/>
      <c r="E74" s="105">
        <v>12</v>
      </c>
      <c r="F74" s="107">
        <f t="shared" si="26"/>
        <v>108</v>
      </c>
      <c r="G74" s="108">
        <f t="shared" si="27"/>
        <v>46</v>
      </c>
      <c r="H74" s="107">
        <f t="shared" si="28"/>
        <v>10</v>
      </c>
      <c r="I74" s="109"/>
      <c r="J74" s="109">
        <f>SUM(O74,T74,Y74,AD74,AI74,AN74,AS74,AX74,BC74,BH74,BM74,BR74)</f>
        <v>36</v>
      </c>
      <c r="K74" s="110"/>
      <c r="L74" s="107"/>
      <c r="M74" s="109">
        <f t="shared" si="24"/>
        <v>0</v>
      </c>
      <c r="N74" s="111"/>
      <c r="O74" s="111"/>
      <c r="P74" s="109"/>
      <c r="Q74" s="109"/>
      <c r="R74" s="109">
        <f t="shared" si="25"/>
        <v>0</v>
      </c>
      <c r="S74" s="111"/>
      <c r="T74" s="111"/>
      <c r="U74" s="110"/>
      <c r="V74" s="112"/>
      <c r="W74" s="109">
        <f t="shared" si="23"/>
        <v>0</v>
      </c>
      <c r="X74" s="111"/>
      <c r="Y74" s="111"/>
      <c r="Z74" s="109"/>
      <c r="AA74" s="109"/>
      <c r="AB74" s="109">
        <f t="shared" si="20"/>
        <v>0</v>
      </c>
      <c r="AC74" s="111"/>
      <c r="AD74" s="111"/>
      <c r="AE74" s="110"/>
      <c r="AF74" s="112"/>
      <c r="AG74" s="109">
        <f t="shared" si="12"/>
        <v>0</v>
      </c>
      <c r="AH74" s="111"/>
      <c r="AI74" s="111"/>
      <c r="AJ74" s="109"/>
      <c r="AK74" s="112"/>
      <c r="AL74" s="109">
        <f t="shared" si="13"/>
        <v>0</v>
      </c>
      <c r="AM74" s="111"/>
      <c r="AN74" s="111"/>
      <c r="AO74" s="110"/>
      <c r="AP74" s="112"/>
      <c r="AQ74" s="109">
        <f t="shared" si="21"/>
        <v>0</v>
      </c>
      <c r="AR74" s="111"/>
      <c r="AS74" s="111"/>
      <c r="AT74" s="109"/>
      <c r="AU74" s="109"/>
      <c r="AV74" s="109">
        <f t="shared" si="15"/>
        <v>0</v>
      </c>
      <c r="AW74" s="111"/>
      <c r="AX74" s="111"/>
      <c r="AY74" s="110"/>
      <c r="AZ74" s="112"/>
      <c r="BA74" s="109">
        <f t="shared" si="16"/>
        <v>0</v>
      </c>
      <c r="BB74" s="111"/>
      <c r="BC74" s="111"/>
      <c r="BD74" s="109"/>
      <c r="BE74" s="109"/>
      <c r="BF74" s="109">
        <f t="shared" si="17"/>
        <v>0</v>
      </c>
      <c r="BG74" s="111"/>
      <c r="BH74" s="111"/>
      <c r="BI74" s="110"/>
      <c r="BJ74" s="112"/>
      <c r="BK74" s="109">
        <f t="shared" si="18"/>
        <v>0</v>
      </c>
      <c r="BL74" s="111"/>
      <c r="BM74" s="111"/>
      <c r="BN74" s="109"/>
      <c r="BO74" s="109">
        <v>108</v>
      </c>
      <c r="BP74" s="109">
        <f t="shared" si="19"/>
        <v>46</v>
      </c>
      <c r="BQ74" s="111">
        <v>10</v>
      </c>
      <c r="BR74" s="111">
        <v>36</v>
      </c>
      <c r="BS74" s="110">
        <v>3</v>
      </c>
      <c r="BT74" s="167">
        <f t="shared" si="22"/>
        <v>3</v>
      </c>
      <c r="BU74" s="253" t="s">
        <v>380</v>
      </c>
      <c r="BV74" s="66"/>
      <c r="BW74" s="66"/>
      <c r="BX74" s="85">
        <f>BM74/7</f>
        <v>0</v>
      </c>
      <c r="BY74" s="85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</row>
    <row r="75" spans="2:131" ht="58.5" outlineLevel="1">
      <c r="B75" s="188" t="s">
        <v>265</v>
      </c>
      <c r="C75" s="200" t="s">
        <v>217</v>
      </c>
      <c r="D75" s="201"/>
      <c r="E75" s="190"/>
      <c r="F75" s="115"/>
      <c r="G75" s="202"/>
      <c r="H75" s="203"/>
      <c r="I75" s="193"/>
      <c r="J75" s="193"/>
      <c r="K75" s="205"/>
      <c r="L75" s="115"/>
      <c r="M75" s="117"/>
      <c r="N75" s="206"/>
      <c r="O75" s="206"/>
      <c r="P75" s="117"/>
      <c r="Q75" s="120"/>
      <c r="R75" s="117"/>
      <c r="S75" s="206"/>
      <c r="T75" s="206"/>
      <c r="U75" s="118"/>
      <c r="V75" s="120"/>
      <c r="W75" s="117"/>
      <c r="X75" s="119"/>
      <c r="Y75" s="119"/>
      <c r="Z75" s="117"/>
      <c r="AA75" s="193"/>
      <c r="AB75" s="117"/>
      <c r="AC75" s="206"/>
      <c r="AD75" s="206"/>
      <c r="AE75" s="118"/>
      <c r="AF75" s="204"/>
      <c r="AG75" s="117"/>
      <c r="AH75" s="206"/>
      <c r="AI75" s="206"/>
      <c r="AJ75" s="117"/>
      <c r="AK75" s="193"/>
      <c r="AL75" s="117"/>
      <c r="AM75" s="206"/>
      <c r="AN75" s="206"/>
      <c r="AO75" s="118"/>
      <c r="AP75" s="204"/>
      <c r="AQ75" s="117"/>
      <c r="AR75" s="206"/>
      <c r="AS75" s="206"/>
      <c r="AT75" s="117"/>
      <c r="AU75" s="193"/>
      <c r="AV75" s="117"/>
      <c r="AW75" s="206"/>
      <c r="AX75" s="206"/>
      <c r="AY75" s="118"/>
      <c r="AZ75" s="204"/>
      <c r="BA75" s="117"/>
      <c r="BB75" s="206"/>
      <c r="BC75" s="206"/>
      <c r="BD75" s="117"/>
      <c r="BE75" s="193"/>
      <c r="BF75" s="117"/>
      <c r="BG75" s="206"/>
      <c r="BH75" s="206"/>
      <c r="BI75" s="118"/>
      <c r="BJ75" s="204"/>
      <c r="BK75" s="117"/>
      <c r="BL75" s="206"/>
      <c r="BM75" s="206"/>
      <c r="BN75" s="117"/>
      <c r="BO75" s="193"/>
      <c r="BP75" s="117"/>
      <c r="BQ75" s="206"/>
      <c r="BR75" s="206"/>
      <c r="BS75" s="118"/>
      <c r="BT75" s="121"/>
      <c r="BU75" s="151"/>
      <c r="BV75" s="66"/>
      <c r="BW75" s="66"/>
      <c r="BX75" s="85"/>
      <c r="BY75" s="85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</row>
    <row r="76" spans="2:131" ht="48.75" customHeight="1" outlineLevel="1">
      <c r="B76" s="170" t="s">
        <v>266</v>
      </c>
      <c r="C76" s="153" t="s">
        <v>218</v>
      </c>
      <c r="D76" s="171"/>
      <c r="E76" s="195" t="s">
        <v>219</v>
      </c>
      <c r="F76" s="107">
        <f t="shared" si="26"/>
        <v>108</v>
      </c>
      <c r="G76" s="108">
        <f t="shared" si="27"/>
        <v>50</v>
      </c>
      <c r="H76" s="107">
        <f t="shared" si="28"/>
        <v>6</v>
      </c>
      <c r="I76" s="109"/>
      <c r="J76" s="109">
        <f>SUM(O76,T76,Y76,AD76,AI76,AN76,AS76,AX76,BC76,BH76,BM76,BR76)</f>
        <v>44</v>
      </c>
      <c r="K76" s="175"/>
      <c r="L76" s="107"/>
      <c r="M76" s="109">
        <f t="shared" si="24"/>
        <v>0</v>
      </c>
      <c r="N76" s="176"/>
      <c r="O76" s="176"/>
      <c r="P76" s="109"/>
      <c r="Q76" s="112"/>
      <c r="R76" s="109">
        <f t="shared" si="25"/>
        <v>0</v>
      </c>
      <c r="S76" s="176"/>
      <c r="T76" s="176"/>
      <c r="U76" s="110"/>
      <c r="V76" s="112"/>
      <c r="W76" s="109">
        <f t="shared" si="23"/>
        <v>0</v>
      </c>
      <c r="X76" s="176"/>
      <c r="Y76" s="176"/>
      <c r="Z76" s="109"/>
      <c r="AA76" s="174"/>
      <c r="AB76" s="109">
        <f t="shared" si="20"/>
        <v>0</v>
      </c>
      <c r="AC76" s="176"/>
      <c r="AD76" s="176"/>
      <c r="AE76" s="110"/>
      <c r="AF76" s="177"/>
      <c r="AG76" s="109">
        <f t="shared" si="12"/>
        <v>0</v>
      </c>
      <c r="AH76" s="176"/>
      <c r="AI76" s="176"/>
      <c r="AJ76" s="108"/>
      <c r="AK76" s="109">
        <v>108</v>
      </c>
      <c r="AL76" s="109">
        <f t="shared" si="13"/>
        <v>50</v>
      </c>
      <c r="AM76" s="176">
        <v>6</v>
      </c>
      <c r="AN76" s="176">
        <v>44</v>
      </c>
      <c r="AO76" s="110">
        <v>3</v>
      </c>
      <c r="AP76" s="177"/>
      <c r="AQ76" s="109">
        <f t="shared" si="21"/>
        <v>0</v>
      </c>
      <c r="AR76" s="176"/>
      <c r="AS76" s="176"/>
      <c r="AT76" s="109"/>
      <c r="AU76" s="174"/>
      <c r="AV76" s="109">
        <f t="shared" si="15"/>
        <v>0</v>
      </c>
      <c r="AW76" s="176"/>
      <c r="AX76" s="176"/>
      <c r="AY76" s="110"/>
      <c r="AZ76" s="177"/>
      <c r="BA76" s="109">
        <f t="shared" si="16"/>
        <v>0</v>
      </c>
      <c r="BB76" s="176"/>
      <c r="BC76" s="176"/>
      <c r="BD76" s="109"/>
      <c r="BE76" s="174"/>
      <c r="BF76" s="109">
        <f t="shared" si="17"/>
        <v>0</v>
      </c>
      <c r="BG76" s="176"/>
      <c r="BH76" s="176"/>
      <c r="BI76" s="110"/>
      <c r="BJ76" s="177"/>
      <c r="BK76" s="109">
        <f t="shared" si="18"/>
        <v>0</v>
      </c>
      <c r="BL76" s="176"/>
      <c r="BM76" s="176"/>
      <c r="BN76" s="109"/>
      <c r="BO76" s="174"/>
      <c r="BP76" s="109">
        <f t="shared" si="19"/>
        <v>0</v>
      </c>
      <c r="BQ76" s="176"/>
      <c r="BR76" s="176"/>
      <c r="BS76" s="110"/>
      <c r="BT76" s="167">
        <f t="shared" si="22"/>
        <v>3</v>
      </c>
      <c r="BU76" s="156" t="s">
        <v>382</v>
      </c>
      <c r="BV76" s="66"/>
      <c r="BW76" s="66"/>
      <c r="BX76" s="85"/>
      <c r="BY76" s="85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</row>
    <row r="77" spans="2:131" ht="78" outlineLevel="1">
      <c r="B77" s="188" t="s">
        <v>267</v>
      </c>
      <c r="C77" s="200" t="s">
        <v>234</v>
      </c>
      <c r="D77" s="113"/>
      <c r="E77" s="114"/>
      <c r="F77" s="115"/>
      <c r="G77" s="202"/>
      <c r="H77" s="203"/>
      <c r="I77" s="232"/>
      <c r="J77" s="193"/>
      <c r="K77" s="205"/>
      <c r="L77" s="115"/>
      <c r="M77" s="117"/>
      <c r="N77" s="119"/>
      <c r="O77" s="119"/>
      <c r="P77" s="117"/>
      <c r="Q77" s="120"/>
      <c r="R77" s="117"/>
      <c r="S77" s="119"/>
      <c r="T77" s="119"/>
      <c r="U77" s="118"/>
      <c r="V77" s="120"/>
      <c r="W77" s="117"/>
      <c r="X77" s="119"/>
      <c r="Y77" s="119"/>
      <c r="Z77" s="117"/>
      <c r="AA77" s="117"/>
      <c r="AB77" s="117"/>
      <c r="AC77" s="119"/>
      <c r="AD77" s="119"/>
      <c r="AE77" s="118"/>
      <c r="AF77" s="120"/>
      <c r="AG77" s="117"/>
      <c r="AH77" s="119"/>
      <c r="AI77" s="119"/>
      <c r="AJ77" s="117"/>
      <c r="AK77" s="117"/>
      <c r="AL77" s="117"/>
      <c r="AM77" s="119"/>
      <c r="AN77" s="119"/>
      <c r="AO77" s="118"/>
      <c r="AP77" s="233"/>
      <c r="AQ77" s="117"/>
      <c r="AR77" s="234"/>
      <c r="AS77" s="234"/>
      <c r="AT77" s="235"/>
      <c r="AU77" s="234"/>
      <c r="AV77" s="117"/>
      <c r="AW77" s="234"/>
      <c r="AX77" s="234"/>
      <c r="AY77" s="236"/>
      <c r="AZ77" s="120"/>
      <c r="BA77" s="117"/>
      <c r="BB77" s="119"/>
      <c r="BC77" s="119"/>
      <c r="BD77" s="117"/>
      <c r="BE77" s="117"/>
      <c r="BF77" s="117"/>
      <c r="BG77" s="119"/>
      <c r="BH77" s="119"/>
      <c r="BI77" s="118"/>
      <c r="BJ77" s="120"/>
      <c r="BK77" s="117"/>
      <c r="BL77" s="119"/>
      <c r="BM77" s="119"/>
      <c r="BN77" s="117"/>
      <c r="BO77" s="120"/>
      <c r="BP77" s="117"/>
      <c r="BQ77" s="119"/>
      <c r="BR77" s="119"/>
      <c r="BS77" s="118"/>
      <c r="BT77" s="121"/>
      <c r="BU77" s="151"/>
      <c r="BV77" s="66"/>
      <c r="BW77" s="66"/>
      <c r="BX77" s="85"/>
      <c r="BY77" s="85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</row>
    <row r="78" spans="2:131" ht="63.75" customHeight="1" outlineLevel="1">
      <c r="B78" s="170" t="s">
        <v>268</v>
      </c>
      <c r="C78" s="153" t="s">
        <v>235</v>
      </c>
      <c r="D78" s="104">
        <v>6</v>
      </c>
      <c r="E78" s="105"/>
      <c r="F78" s="107">
        <f t="shared" si="26"/>
        <v>108</v>
      </c>
      <c r="G78" s="196">
        <f t="shared" si="27"/>
        <v>69</v>
      </c>
      <c r="H78" s="172">
        <f t="shared" si="28"/>
        <v>18</v>
      </c>
      <c r="I78" s="173"/>
      <c r="J78" s="174">
        <f>SUM(O78,T78,Y78,AD78,AI78,AN78,AS78,AX78,BC78,BH78,BM78,BR78)</f>
        <v>51</v>
      </c>
      <c r="K78" s="175"/>
      <c r="L78" s="107"/>
      <c r="M78" s="109">
        <f t="shared" si="24"/>
        <v>0</v>
      </c>
      <c r="N78" s="111"/>
      <c r="O78" s="111"/>
      <c r="P78" s="109"/>
      <c r="Q78" s="112"/>
      <c r="R78" s="109">
        <f t="shared" si="25"/>
        <v>0</v>
      </c>
      <c r="S78" s="111"/>
      <c r="T78" s="111"/>
      <c r="U78" s="110"/>
      <c r="V78" s="112"/>
      <c r="W78" s="109">
        <f t="shared" si="23"/>
        <v>0</v>
      </c>
      <c r="X78" s="111"/>
      <c r="Y78" s="111"/>
      <c r="Z78" s="109"/>
      <c r="AA78" s="109"/>
      <c r="AB78" s="109">
        <f t="shared" si="20"/>
        <v>0</v>
      </c>
      <c r="AC78" s="111"/>
      <c r="AD78" s="111"/>
      <c r="AE78" s="110"/>
      <c r="AF78" s="112"/>
      <c r="AG78" s="109">
        <f aca="true" t="shared" si="29" ref="AG78:AG107">SUM(AH78:AI78)</f>
        <v>0</v>
      </c>
      <c r="AH78" s="111"/>
      <c r="AI78" s="111"/>
      <c r="AJ78" s="109"/>
      <c r="AK78" s="174">
        <v>108</v>
      </c>
      <c r="AL78" s="109">
        <f aca="true" t="shared" si="30" ref="AL78:AL107">SUM(AM78:AN78)</f>
        <v>69</v>
      </c>
      <c r="AM78" s="176">
        <v>18</v>
      </c>
      <c r="AN78" s="176">
        <v>51</v>
      </c>
      <c r="AO78" s="110">
        <v>3</v>
      </c>
      <c r="AP78" s="237"/>
      <c r="AQ78" s="109">
        <f t="shared" si="21"/>
        <v>0</v>
      </c>
      <c r="AR78" s="238"/>
      <c r="AS78" s="238"/>
      <c r="AT78" s="239"/>
      <c r="AU78" s="238"/>
      <c r="AV78" s="109">
        <f t="shared" si="15"/>
        <v>0</v>
      </c>
      <c r="AW78" s="238"/>
      <c r="AX78" s="238"/>
      <c r="AY78" s="240"/>
      <c r="AZ78" s="112"/>
      <c r="BA78" s="109">
        <f t="shared" si="16"/>
        <v>0</v>
      </c>
      <c r="BB78" s="111"/>
      <c r="BC78" s="111"/>
      <c r="BD78" s="109"/>
      <c r="BE78" s="109"/>
      <c r="BF78" s="109">
        <f t="shared" si="17"/>
        <v>0</v>
      </c>
      <c r="BG78" s="111"/>
      <c r="BH78" s="111"/>
      <c r="BI78" s="110"/>
      <c r="BJ78" s="112"/>
      <c r="BK78" s="109">
        <f t="shared" si="18"/>
        <v>0</v>
      </c>
      <c r="BL78" s="111"/>
      <c r="BM78" s="111"/>
      <c r="BN78" s="109"/>
      <c r="BO78" s="112"/>
      <c r="BP78" s="109">
        <f t="shared" si="19"/>
        <v>0</v>
      </c>
      <c r="BQ78" s="111"/>
      <c r="BR78" s="111"/>
      <c r="BS78" s="110"/>
      <c r="BT78" s="167">
        <f t="shared" si="22"/>
        <v>3</v>
      </c>
      <c r="BU78" s="156" t="s">
        <v>383</v>
      </c>
      <c r="BV78" s="66"/>
      <c r="BW78" s="66"/>
      <c r="BX78" s="85"/>
      <c r="BY78" s="85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</row>
    <row r="79" spans="2:131" ht="39" outlineLevel="1">
      <c r="B79" s="188" t="s">
        <v>269</v>
      </c>
      <c r="C79" s="200" t="s">
        <v>172</v>
      </c>
      <c r="D79" s="113"/>
      <c r="E79" s="114"/>
      <c r="F79" s="115"/>
      <c r="G79" s="116"/>
      <c r="H79" s="115"/>
      <c r="I79" s="117"/>
      <c r="J79" s="117"/>
      <c r="K79" s="118"/>
      <c r="L79" s="115"/>
      <c r="M79" s="117"/>
      <c r="N79" s="119"/>
      <c r="O79" s="119"/>
      <c r="P79" s="117"/>
      <c r="Q79" s="117"/>
      <c r="R79" s="117"/>
      <c r="S79" s="119"/>
      <c r="T79" s="119"/>
      <c r="U79" s="118"/>
      <c r="V79" s="120"/>
      <c r="W79" s="117"/>
      <c r="X79" s="119"/>
      <c r="Y79" s="119"/>
      <c r="Z79" s="117"/>
      <c r="AA79" s="120"/>
      <c r="AB79" s="117"/>
      <c r="AC79" s="119"/>
      <c r="AD79" s="119"/>
      <c r="AE79" s="118"/>
      <c r="AF79" s="120"/>
      <c r="AG79" s="117"/>
      <c r="AH79" s="119"/>
      <c r="AI79" s="119"/>
      <c r="AJ79" s="117"/>
      <c r="AK79" s="117"/>
      <c r="AL79" s="117"/>
      <c r="AM79" s="119"/>
      <c r="AN79" s="119"/>
      <c r="AO79" s="118"/>
      <c r="AP79" s="120"/>
      <c r="AQ79" s="117"/>
      <c r="AR79" s="119"/>
      <c r="AS79" s="119"/>
      <c r="AT79" s="117"/>
      <c r="AU79" s="117"/>
      <c r="AV79" s="117"/>
      <c r="AW79" s="119"/>
      <c r="AX79" s="119"/>
      <c r="AY79" s="118"/>
      <c r="AZ79" s="120"/>
      <c r="BA79" s="117"/>
      <c r="BB79" s="119"/>
      <c r="BC79" s="119"/>
      <c r="BD79" s="117"/>
      <c r="BE79" s="117"/>
      <c r="BF79" s="117"/>
      <c r="BG79" s="119"/>
      <c r="BH79" s="119"/>
      <c r="BI79" s="118"/>
      <c r="BJ79" s="120"/>
      <c r="BK79" s="117"/>
      <c r="BL79" s="119"/>
      <c r="BM79" s="119"/>
      <c r="BN79" s="117"/>
      <c r="BO79" s="117"/>
      <c r="BP79" s="117"/>
      <c r="BQ79" s="119"/>
      <c r="BR79" s="119"/>
      <c r="BS79" s="118"/>
      <c r="BT79" s="121"/>
      <c r="BU79" s="187"/>
      <c r="BV79" s="66"/>
      <c r="BW79" s="66"/>
      <c r="BX79" s="85"/>
      <c r="BY79" s="85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</row>
    <row r="80" spans="2:131" ht="21.75" outlineLevel="1">
      <c r="B80" s="170" t="s">
        <v>270</v>
      </c>
      <c r="C80" s="153" t="s">
        <v>537</v>
      </c>
      <c r="D80" s="104"/>
      <c r="E80" s="105" t="s">
        <v>124</v>
      </c>
      <c r="F80" s="107">
        <f aca="true" t="shared" si="31" ref="F80:F87">SUM(L80,Q80,V80,AA80,AF80,AK80,AP80,AU80,AZ80,BE80,BJ80,BO80)</f>
        <v>131</v>
      </c>
      <c r="G80" s="108">
        <f aca="true" t="shared" si="32" ref="G80:G87">SUM(H80:K80)</f>
        <v>88</v>
      </c>
      <c r="H80" s="107">
        <f aca="true" t="shared" si="33" ref="H80:H87">SUM(N80,S80,X80,AC80,AH80,AM80,AR80,AW80,BB80,BG80,BL80,BQ80)</f>
        <v>24</v>
      </c>
      <c r="I80" s="109"/>
      <c r="J80" s="109">
        <f aca="true" t="shared" si="34" ref="J80:J87">SUM(O80,T80,Y80,AD80,AI80,AN80,AS80,AX80,BC80,BH80,BM80,BR80)</f>
        <v>64</v>
      </c>
      <c r="K80" s="110"/>
      <c r="L80" s="107"/>
      <c r="M80" s="109">
        <f t="shared" si="24"/>
        <v>0</v>
      </c>
      <c r="N80" s="111"/>
      <c r="O80" s="111"/>
      <c r="P80" s="109"/>
      <c r="Q80" s="109"/>
      <c r="R80" s="109">
        <f t="shared" si="25"/>
        <v>0</v>
      </c>
      <c r="S80" s="111"/>
      <c r="T80" s="111"/>
      <c r="U80" s="110"/>
      <c r="V80" s="112"/>
      <c r="W80" s="109">
        <f t="shared" si="23"/>
        <v>0</v>
      </c>
      <c r="X80" s="111"/>
      <c r="Y80" s="111"/>
      <c r="Z80" s="109"/>
      <c r="AA80" s="109"/>
      <c r="AB80" s="109">
        <f t="shared" si="20"/>
        <v>0</v>
      </c>
      <c r="AC80" s="111"/>
      <c r="AD80" s="111"/>
      <c r="AE80" s="110"/>
      <c r="AF80" s="112"/>
      <c r="AG80" s="109">
        <f t="shared" si="29"/>
        <v>0</v>
      </c>
      <c r="AH80" s="111"/>
      <c r="AI80" s="111"/>
      <c r="AJ80" s="109"/>
      <c r="AK80" s="112">
        <v>71</v>
      </c>
      <c r="AL80" s="109">
        <f t="shared" si="30"/>
        <v>48</v>
      </c>
      <c r="AM80" s="111">
        <v>14</v>
      </c>
      <c r="AN80" s="111">
        <v>34</v>
      </c>
      <c r="AO80" s="110"/>
      <c r="AP80" s="112">
        <v>60</v>
      </c>
      <c r="AQ80" s="109">
        <f t="shared" si="21"/>
        <v>40</v>
      </c>
      <c r="AR80" s="111">
        <v>10</v>
      </c>
      <c r="AS80" s="111">
        <v>30</v>
      </c>
      <c r="AT80" s="108">
        <v>3</v>
      </c>
      <c r="AU80" s="109"/>
      <c r="AV80" s="109">
        <f t="shared" si="15"/>
        <v>0</v>
      </c>
      <c r="AW80" s="111"/>
      <c r="AX80" s="111"/>
      <c r="AY80" s="110"/>
      <c r="AZ80" s="112"/>
      <c r="BA80" s="109">
        <f t="shared" si="16"/>
        <v>0</v>
      </c>
      <c r="BB80" s="111"/>
      <c r="BC80" s="111"/>
      <c r="BD80" s="109"/>
      <c r="BE80" s="109"/>
      <c r="BF80" s="109">
        <f t="shared" si="17"/>
        <v>0</v>
      </c>
      <c r="BG80" s="111"/>
      <c r="BH80" s="111"/>
      <c r="BI80" s="110"/>
      <c r="BJ80" s="112"/>
      <c r="BK80" s="109">
        <f t="shared" si="18"/>
        <v>0</v>
      </c>
      <c r="BL80" s="111"/>
      <c r="BM80" s="111"/>
      <c r="BN80" s="109"/>
      <c r="BO80" s="109"/>
      <c r="BP80" s="109">
        <f t="shared" si="19"/>
        <v>0</v>
      </c>
      <c r="BQ80" s="111"/>
      <c r="BR80" s="111"/>
      <c r="BS80" s="110"/>
      <c r="BT80" s="167">
        <f t="shared" si="22"/>
        <v>3</v>
      </c>
      <c r="BU80" s="156" t="s">
        <v>384</v>
      </c>
      <c r="BV80" s="66"/>
      <c r="BW80" s="66"/>
      <c r="BX80" s="85"/>
      <c r="BY80" s="85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</row>
    <row r="81" spans="2:131" ht="39" outlineLevel="1">
      <c r="B81" s="188" t="s">
        <v>271</v>
      </c>
      <c r="C81" s="200" t="s">
        <v>230</v>
      </c>
      <c r="D81" s="113"/>
      <c r="E81" s="114"/>
      <c r="F81" s="115"/>
      <c r="G81" s="202"/>
      <c r="H81" s="203"/>
      <c r="I81" s="232"/>
      <c r="J81" s="193"/>
      <c r="K81" s="205"/>
      <c r="L81" s="115"/>
      <c r="M81" s="117"/>
      <c r="N81" s="119"/>
      <c r="O81" s="119"/>
      <c r="P81" s="117"/>
      <c r="Q81" s="120"/>
      <c r="R81" s="117"/>
      <c r="S81" s="119"/>
      <c r="T81" s="119"/>
      <c r="U81" s="118"/>
      <c r="V81" s="120"/>
      <c r="W81" s="117"/>
      <c r="X81" s="119"/>
      <c r="Y81" s="119"/>
      <c r="Z81" s="117"/>
      <c r="AA81" s="117"/>
      <c r="AB81" s="117"/>
      <c r="AC81" s="119"/>
      <c r="AD81" s="119"/>
      <c r="AE81" s="118"/>
      <c r="AF81" s="120"/>
      <c r="AG81" s="117"/>
      <c r="AH81" s="119"/>
      <c r="AI81" s="119"/>
      <c r="AJ81" s="117"/>
      <c r="AK81" s="117"/>
      <c r="AL81" s="117"/>
      <c r="AM81" s="119"/>
      <c r="AN81" s="119"/>
      <c r="AO81" s="118"/>
      <c r="AP81" s="233"/>
      <c r="AQ81" s="117"/>
      <c r="AR81" s="234"/>
      <c r="AS81" s="234"/>
      <c r="AT81" s="235"/>
      <c r="AU81" s="234"/>
      <c r="AV81" s="117"/>
      <c r="AW81" s="234"/>
      <c r="AX81" s="234"/>
      <c r="AY81" s="236"/>
      <c r="AZ81" s="120"/>
      <c r="BA81" s="117"/>
      <c r="BB81" s="119"/>
      <c r="BC81" s="119"/>
      <c r="BD81" s="117"/>
      <c r="BE81" s="117"/>
      <c r="BF81" s="117"/>
      <c r="BG81" s="119"/>
      <c r="BH81" s="119"/>
      <c r="BI81" s="118"/>
      <c r="BJ81" s="120"/>
      <c r="BK81" s="117"/>
      <c r="BL81" s="119"/>
      <c r="BM81" s="119"/>
      <c r="BN81" s="117"/>
      <c r="BO81" s="120"/>
      <c r="BP81" s="117"/>
      <c r="BQ81" s="119"/>
      <c r="BR81" s="119"/>
      <c r="BS81" s="118"/>
      <c r="BT81" s="121"/>
      <c r="BU81" s="169"/>
      <c r="BV81" s="66"/>
      <c r="BW81" s="66"/>
      <c r="BX81" s="85"/>
      <c r="BY81" s="85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</row>
    <row r="82" spans="2:131" ht="65.25" customHeight="1" outlineLevel="1">
      <c r="B82" s="170" t="s">
        <v>272</v>
      </c>
      <c r="C82" s="153" t="s">
        <v>231</v>
      </c>
      <c r="D82" s="104"/>
      <c r="E82" s="105" t="s">
        <v>124</v>
      </c>
      <c r="F82" s="107">
        <f t="shared" si="31"/>
        <v>108</v>
      </c>
      <c r="G82" s="196">
        <f t="shared" si="32"/>
        <v>52</v>
      </c>
      <c r="H82" s="172">
        <f t="shared" si="33"/>
        <v>10</v>
      </c>
      <c r="I82" s="173"/>
      <c r="J82" s="174">
        <f t="shared" si="34"/>
        <v>42</v>
      </c>
      <c r="K82" s="175"/>
      <c r="L82" s="107"/>
      <c r="M82" s="109">
        <f t="shared" si="24"/>
        <v>0</v>
      </c>
      <c r="N82" s="111"/>
      <c r="O82" s="111"/>
      <c r="P82" s="109"/>
      <c r="Q82" s="112"/>
      <c r="R82" s="109">
        <f t="shared" si="25"/>
        <v>0</v>
      </c>
      <c r="S82" s="111"/>
      <c r="T82" s="111"/>
      <c r="U82" s="110"/>
      <c r="V82" s="112"/>
      <c r="W82" s="109">
        <f t="shared" si="23"/>
        <v>0</v>
      </c>
      <c r="X82" s="111"/>
      <c r="Y82" s="111"/>
      <c r="Z82" s="109"/>
      <c r="AA82" s="109"/>
      <c r="AB82" s="109">
        <f t="shared" si="20"/>
        <v>0</v>
      </c>
      <c r="AC82" s="111"/>
      <c r="AD82" s="111"/>
      <c r="AE82" s="110"/>
      <c r="AF82" s="177"/>
      <c r="AG82" s="109">
        <f t="shared" si="29"/>
        <v>0</v>
      </c>
      <c r="AH82" s="176"/>
      <c r="AI82" s="176"/>
      <c r="AJ82" s="109"/>
      <c r="AK82" s="109"/>
      <c r="AL82" s="109">
        <f t="shared" si="30"/>
        <v>0</v>
      </c>
      <c r="AM82" s="111"/>
      <c r="AN82" s="111"/>
      <c r="AO82" s="110"/>
      <c r="AP82" s="177">
        <v>108</v>
      </c>
      <c r="AQ82" s="109">
        <f aca="true" t="shared" si="35" ref="AQ82:AQ110">SUM(AR82:AS82)</f>
        <v>52</v>
      </c>
      <c r="AR82" s="176">
        <v>10</v>
      </c>
      <c r="AS82" s="176">
        <v>42</v>
      </c>
      <c r="AT82" s="109">
        <v>3</v>
      </c>
      <c r="AU82" s="238"/>
      <c r="AV82" s="109">
        <f aca="true" t="shared" si="36" ref="AV82:AV110">SUM(AW82:AX82)</f>
        <v>0</v>
      </c>
      <c r="AW82" s="238"/>
      <c r="AX82" s="238"/>
      <c r="AY82" s="240"/>
      <c r="AZ82" s="112"/>
      <c r="BA82" s="109">
        <f aca="true" t="shared" si="37" ref="BA82:BA110">SUM(BB82:BC82)</f>
        <v>0</v>
      </c>
      <c r="BB82" s="111"/>
      <c r="BC82" s="111"/>
      <c r="BD82" s="109"/>
      <c r="BE82" s="109"/>
      <c r="BF82" s="109">
        <f aca="true" t="shared" si="38" ref="BF82:BF110">SUM(BG82:BH82)</f>
        <v>0</v>
      </c>
      <c r="BG82" s="111"/>
      <c r="BH82" s="111"/>
      <c r="BI82" s="110"/>
      <c r="BJ82" s="112"/>
      <c r="BK82" s="109">
        <f aca="true" t="shared" si="39" ref="BK82:BK113">SUM(BL82:BM82)</f>
        <v>0</v>
      </c>
      <c r="BL82" s="111"/>
      <c r="BM82" s="111"/>
      <c r="BN82" s="109"/>
      <c r="BO82" s="112"/>
      <c r="BP82" s="109">
        <f aca="true" t="shared" si="40" ref="BP82:BP110">SUM(BQ82:BR82)</f>
        <v>0</v>
      </c>
      <c r="BQ82" s="111"/>
      <c r="BR82" s="111"/>
      <c r="BS82" s="110"/>
      <c r="BT82" s="167">
        <f t="shared" si="22"/>
        <v>3</v>
      </c>
      <c r="BU82" s="156" t="s">
        <v>385</v>
      </c>
      <c r="BV82" s="66"/>
      <c r="BW82" s="66"/>
      <c r="BX82" s="85"/>
      <c r="BY82" s="85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</row>
    <row r="83" spans="2:131" ht="45" customHeight="1" outlineLevel="1">
      <c r="B83" s="170" t="s">
        <v>273</v>
      </c>
      <c r="C83" s="153" t="s">
        <v>232</v>
      </c>
      <c r="D83" s="104">
        <v>7</v>
      </c>
      <c r="E83" s="105"/>
      <c r="F83" s="107">
        <f t="shared" si="31"/>
        <v>120</v>
      </c>
      <c r="G83" s="196">
        <f t="shared" si="32"/>
        <v>80</v>
      </c>
      <c r="H83" s="172">
        <f t="shared" si="33"/>
        <v>14</v>
      </c>
      <c r="I83" s="173"/>
      <c r="J83" s="174">
        <f t="shared" si="34"/>
        <v>66</v>
      </c>
      <c r="K83" s="175"/>
      <c r="L83" s="107"/>
      <c r="M83" s="109">
        <f t="shared" si="24"/>
        <v>0</v>
      </c>
      <c r="N83" s="111"/>
      <c r="O83" s="111"/>
      <c r="P83" s="109"/>
      <c r="Q83" s="112"/>
      <c r="R83" s="109">
        <f t="shared" si="25"/>
        <v>0</v>
      </c>
      <c r="S83" s="111"/>
      <c r="T83" s="111"/>
      <c r="U83" s="110"/>
      <c r="V83" s="112"/>
      <c r="W83" s="109">
        <f t="shared" si="23"/>
        <v>0</v>
      </c>
      <c r="X83" s="111"/>
      <c r="Y83" s="111"/>
      <c r="Z83" s="109"/>
      <c r="AA83" s="109"/>
      <c r="AB83" s="109">
        <f t="shared" si="20"/>
        <v>0</v>
      </c>
      <c r="AC83" s="111"/>
      <c r="AD83" s="111"/>
      <c r="AE83" s="110"/>
      <c r="AF83" s="112"/>
      <c r="AG83" s="109">
        <f t="shared" si="29"/>
        <v>0</v>
      </c>
      <c r="AH83" s="111"/>
      <c r="AI83" s="111"/>
      <c r="AJ83" s="109"/>
      <c r="AK83" s="109"/>
      <c r="AL83" s="109">
        <f t="shared" si="30"/>
        <v>0</v>
      </c>
      <c r="AM83" s="111"/>
      <c r="AN83" s="111"/>
      <c r="AO83" s="110"/>
      <c r="AP83" s="177">
        <v>120</v>
      </c>
      <c r="AQ83" s="109">
        <f t="shared" si="35"/>
        <v>80</v>
      </c>
      <c r="AR83" s="176">
        <v>14</v>
      </c>
      <c r="AS83" s="176">
        <v>66</v>
      </c>
      <c r="AT83" s="109">
        <v>3</v>
      </c>
      <c r="AU83" s="238"/>
      <c r="AV83" s="109">
        <f t="shared" si="36"/>
        <v>0</v>
      </c>
      <c r="AW83" s="238"/>
      <c r="AX83" s="238"/>
      <c r="AY83" s="240"/>
      <c r="AZ83" s="112"/>
      <c r="BA83" s="109">
        <f t="shared" si="37"/>
        <v>0</v>
      </c>
      <c r="BB83" s="111"/>
      <c r="BC83" s="111"/>
      <c r="BD83" s="109"/>
      <c r="BE83" s="109"/>
      <c r="BF83" s="109">
        <f t="shared" si="38"/>
        <v>0</v>
      </c>
      <c r="BG83" s="111"/>
      <c r="BH83" s="111"/>
      <c r="BI83" s="110"/>
      <c r="BJ83" s="112"/>
      <c r="BK83" s="109">
        <f t="shared" si="39"/>
        <v>0</v>
      </c>
      <c r="BL83" s="111"/>
      <c r="BM83" s="111"/>
      <c r="BN83" s="109"/>
      <c r="BO83" s="112"/>
      <c r="BP83" s="109">
        <f t="shared" si="40"/>
        <v>0</v>
      </c>
      <c r="BQ83" s="111"/>
      <c r="BR83" s="111"/>
      <c r="BS83" s="110"/>
      <c r="BT83" s="167">
        <f aca="true" t="shared" si="41" ref="BT83:BT114">SUM(P83,U83,Z83,AE83,AJ83,AO83,AT83,AY83,BD83,BI83,BN83,BS83)</f>
        <v>3</v>
      </c>
      <c r="BU83" s="156" t="s">
        <v>386</v>
      </c>
      <c r="BV83" s="66"/>
      <c r="BW83" s="66"/>
      <c r="BX83" s="85"/>
      <c r="BY83" s="85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</row>
    <row r="84" spans="2:131" ht="88.5" customHeight="1" outlineLevel="1">
      <c r="B84" s="170" t="s">
        <v>341</v>
      </c>
      <c r="C84" s="153" t="s">
        <v>233</v>
      </c>
      <c r="D84" s="104"/>
      <c r="E84" s="105"/>
      <c r="F84" s="107">
        <f t="shared" si="31"/>
        <v>40</v>
      </c>
      <c r="G84" s="196">
        <f t="shared" si="32"/>
        <v>0</v>
      </c>
      <c r="H84" s="172">
        <f t="shared" si="33"/>
        <v>0</v>
      </c>
      <c r="I84" s="173"/>
      <c r="J84" s="174">
        <f t="shared" si="34"/>
        <v>0</v>
      </c>
      <c r="K84" s="175"/>
      <c r="L84" s="107"/>
      <c r="M84" s="109">
        <f t="shared" si="24"/>
        <v>0</v>
      </c>
      <c r="N84" s="111"/>
      <c r="O84" s="111"/>
      <c r="P84" s="109"/>
      <c r="Q84" s="112"/>
      <c r="R84" s="109">
        <f t="shared" si="25"/>
        <v>0</v>
      </c>
      <c r="S84" s="111"/>
      <c r="T84" s="111"/>
      <c r="U84" s="110"/>
      <c r="V84" s="112"/>
      <c r="W84" s="109">
        <f t="shared" si="23"/>
        <v>0</v>
      </c>
      <c r="X84" s="111"/>
      <c r="Y84" s="111"/>
      <c r="Z84" s="109"/>
      <c r="AA84" s="109"/>
      <c r="AB84" s="109">
        <f aca="true" t="shared" si="42" ref="AB84:AB110">SUM(AC84:AD84)</f>
        <v>0</v>
      </c>
      <c r="AC84" s="111"/>
      <c r="AD84" s="111"/>
      <c r="AE84" s="110"/>
      <c r="AF84" s="112"/>
      <c r="AG84" s="109">
        <f t="shared" si="29"/>
        <v>0</v>
      </c>
      <c r="AH84" s="111"/>
      <c r="AI84" s="111"/>
      <c r="AJ84" s="109"/>
      <c r="AK84" s="109"/>
      <c r="AL84" s="109">
        <f t="shared" si="30"/>
        <v>0</v>
      </c>
      <c r="AM84" s="111"/>
      <c r="AN84" s="111"/>
      <c r="AO84" s="110"/>
      <c r="AP84" s="177">
        <v>40</v>
      </c>
      <c r="AQ84" s="109">
        <f t="shared" si="35"/>
        <v>0</v>
      </c>
      <c r="AR84" s="176"/>
      <c r="AS84" s="176"/>
      <c r="AT84" s="109">
        <v>1</v>
      </c>
      <c r="AU84" s="238"/>
      <c r="AV84" s="109">
        <f t="shared" si="36"/>
        <v>0</v>
      </c>
      <c r="AW84" s="238"/>
      <c r="AX84" s="238"/>
      <c r="AY84" s="240"/>
      <c r="AZ84" s="112"/>
      <c r="BA84" s="109">
        <f t="shared" si="37"/>
        <v>0</v>
      </c>
      <c r="BB84" s="111"/>
      <c r="BC84" s="111"/>
      <c r="BD84" s="109"/>
      <c r="BE84" s="109"/>
      <c r="BF84" s="109">
        <f t="shared" si="38"/>
        <v>0</v>
      </c>
      <c r="BG84" s="111"/>
      <c r="BH84" s="111"/>
      <c r="BI84" s="110"/>
      <c r="BJ84" s="112"/>
      <c r="BK84" s="109">
        <f t="shared" si="39"/>
        <v>0</v>
      </c>
      <c r="BL84" s="111"/>
      <c r="BM84" s="111"/>
      <c r="BN84" s="109"/>
      <c r="BO84" s="112"/>
      <c r="BP84" s="109">
        <f t="shared" si="40"/>
        <v>0</v>
      </c>
      <c r="BQ84" s="111"/>
      <c r="BR84" s="111"/>
      <c r="BS84" s="110"/>
      <c r="BT84" s="167">
        <f t="shared" si="41"/>
        <v>1</v>
      </c>
      <c r="BU84" s="156" t="s">
        <v>307</v>
      </c>
      <c r="BV84" s="66"/>
      <c r="BW84" s="66"/>
      <c r="BX84" s="85"/>
      <c r="BY84" s="85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</row>
    <row r="85" spans="2:131" ht="78" outlineLevel="1">
      <c r="B85" s="188" t="s">
        <v>274</v>
      </c>
      <c r="C85" s="200" t="s">
        <v>531</v>
      </c>
      <c r="D85" s="113"/>
      <c r="E85" s="114"/>
      <c r="F85" s="115"/>
      <c r="G85" s="202"/>
      <c r="H85" s="203"/>
      <c r="I85" s="232"/>
      <c r="J85" s="193"/>
      <c r="K85" s="205"/>
      <c r="L85" s="115"/>
      <c r="M85" s="117"/>
      <c r="N85" s="119"/>
      <c r="O85" s="119"/>
      <c r="P85" s="117"/>
      <c r="Q85" s="120"/>
      <c r="R85" s="117"/>
      <c r="S85" s="119"/>
      <c r="T85" s="119"/>
      <c r="U85" s="118"/>
      <c r="V85" s="120"/>
      <c r="W85" s="117"/>
      <c r="X85" s="119"/>
      <c r="Y85" s="119"/>
      <c r="Z85" s="117"/>
      <c r="AA85" s="117"/>
      <c r="AB85" s="117"/>
      <c r="AC85" s="119"/>
      <c r="AD85" s="119"/>
      <c r="AE85" s="118"/>
      <c r="AF85" s="120"/>
      <c r="AG85" s="117"/>
      <c r="AH85" s="119"/>
      <c r="AI85" s="119"/>
      <c r="AJ85" s="117"/>
      <c r="AK85" s="193"/>
      <c r="AL85" s="117"/>
      <c r="AM85" s="206"/>
      <c r="AN85" s="206"/>
      <c r="AO85" s="118"/>
      <c r="AP85" s="233"/>
      <c r="AQ85" s="117"/>
      <c r="AR85" s="234"/>
      <c r="AS85" s="234"/>
      <c r="AT85" s="235"/>
      <c r="AU85" s="234"/>
      <c r="AV85" s="117"/>
      <c r="AW85" s="234"/>
      <c r="AX85" s="234"/>
      <c r="AY85" s="236"/>
      <c r="AZ85" s="120"/>
      <c r="BA85" s="117"/>
      <c r="BB85" s="119"/>
      <c r="BC85" s="119"/>
      <c r="BD85" s="117"/>
      <c r="BE85" s="117"/>
      <c r="BF85" s="117"/>
      <c r="BG85" s="119"/>
      <c r="BH85" s="119"/>
      <c r="BI85" s="118"/>
      <c r="BJ85" s="120"/>
      <c r="BK85" s="117"/>
      <c r="BL85" s="119"/>
      <c r="BM85" s="119"/>
      <c r="BN85" s="117"/>
      <c r="BO85" s="120"/>
      <c r="BP85" s="117"/>
      <c r="BQ85" s="119"/>
      <c r="BR85" s="119"/>
      <c r="BS85" s="118"/>
      <c r="BT85" s="121"/>
      <c r="BU85" s="151"/>
      <c r="BV85" s="66"/>
      <c r="BW85" s="66"/>
      <c r="BX85" s="85"/>
      <c r="BY85" s="85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</row>
    <row r="86" spans="2:131" ht="20.25" outlineLevel="1">
      <c r="B86" s="170" t="s">
        <v>275</v>
      </c>
      <c r="C86" s="153" t="s">
        <v>236</v>
      </c>
      <c r="D86" s="104">
        <v>7</v>
      </c>
      <c r="E86" s="105"/>
      <c r="F86" s="107">
        <f t="shared" si="31"/>
        <v>130</v>
      </c>
      <c r="G86" s="196">
        <f t="shared" si="32"/>
        <v>80</v>
      </c>
      <c r="H86" s="172">
        <f t="shared" si="33"/>
        <v>14</v>
      </c>
      <c r="I86" s="173"/>
      <c r="J86" s="174">
        <f t="shared" si="34"/>
        <v>66</v>
      </c>
      <c r="K86" s="175"/>
      <c r="L86" s="107"/>
      <c r="M86" s="109">
        <f t="shared" si="24"/>
        <v>0</v>
      </c>
      <c r="N86" s="111"/>
      <c r="O86" s="111"/>
      <c r="P86" s="109"/>
      <c r="Q86" s="112"/>
      <c r="R86" s="109">
        <f t="shared" si="25"/>
        <v>0</v>
      </c>
      <c r="S86" s="111"/>
      <c r="T86" s="111"/>
      <c r="U86" s="110"/>
      <c r="V86" s="112"/>
      <c r="W86" s="109">
        <f t="shared" si="23"/>
        <v>0</v>
      </c>
      <c r="X86" s="111"/>
      <c r="Y86" s="111"/>
      <c r="Z86" s="109"/>
      <c r="AA86" s="109"/>
      <c r="AB86" s="109">
        <f t="shared" si="42"/>
        <v>0</v>
      </c>
      <c r="AC86" s="111"/>
      <c r="AD86" s="111"/>
      <c r="AE86" s="110"/>
      <c r="AF86" s="112"/>
      <c r="AG86" s="109">
        <f t="shared" si="29"/>
        <v>0</v>
      </c>
      <c r="AH86" s="111"/>
      <c r="AI86" s="111"/>
      <c r="AJ86" s="109"/>
      <c r="AK86" s="174"/>
      <c r="AL86" s="109">
        <f t="shared" si="30"/>
        <v>0</v>
      </c>
      <c r="AM86" s="176"/>
      <c r="AN86" s="176"/>
      <c r="AO86" s="110"/>
      <c r="AP86" s="177">
        <v>130</v>
      </c>
      <c r="AQ86" s="109">
        <f t="shared" si="35"/>
        <v>80</v>
      </c>
      <c r="AR86" s="176">
        <v>14</v>
      </c>
      <c r="AS86" s="176">
        <v>66</v>
      </c>
      <c r="AT86" s="109">
        <v>3</v>
      </c>
      <c r="AU86" s="238"/>
      <c r="AV86" s="109">
        <f t="shared" si="36"/>
        <v>0</v>
      </c>
      <c r="AW86" s="238"/>
      <c r="AX86" s="238"/>
      <c r="AY86" s="240"/>
      <c r="AZ86" s="112"/>
      <c r="BA86" s="109">
        <f t="shared" si="37"/>
        <v>0</v>
      </c>
      <c r="BB86" s="111"/>
      <c r="BC86" s="111"/>
      <c r="BD86" s="109"/>
      <c r="BE86" s="109"/>
      <c r="BF86" s="109">
        <f t="shared" si="38"/>
        <v>0</v>
      </c>
      <c r="BG86" s="111"/>
      <c r="BH86" s="111"/>
      <c r="BI86" s="110"/>
      <c r="BJ86" s="177"/>
      <c r="BK86" s="109">
        <f t="shared" si="39"/>
        <v>0</v>
      </c>
      <c r="BL86" s="176"/>
      <c r="BM86" s="176"/>
      <c r="BN86" s="109"/>
      <c r="BO86" s="112"/>
      <c r="BP86" s="109">
        <f t="shared" si="40"/>
        <v>0</v>
      </c>
      <c r="BQ86" s="111"/>
      <c r="BR86" s="111"/>
      <c r="BS86" s="110"/>
      <c r="BT86" s="167">
        <f t="shared" si="41"/>
        <v>3</v>
      </c>
      <c r="BU86" s="156" t="s">
        <v>414</v>
      </c>
      <c r="BV86" s="66"/>
      <c r="BW86" s="66"/>
      <c r="BX86" s="85"/>
      <c r="BY86" s="85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</row>
    <row r="87" spans="2:131" ht="51" customHeight="1" outlineLevel="1">
      <c r="B87" s="170" t="s">
        <v>276</v>
      </c>
      <c r="C87" s="153" t="s">
        <v>237</v>
      </c>
      <c r="D87" s="104"/>
      <c r="E87" s="105" t="s">
        <v>249</v>
      </c>
      <c r="F87" s="107">
        <f t="shared" si="31"/>
        <v>480</v>
      </c>
      <c r="G87" s="196">
        <f t="shared" si="32"/>
        <v>272</v>
      </c>
      <c r="H87" s="172">
        <f t="shared" si="33"/>
        <v>50</v>
      </c>
      <c r="I87" s="173"/>
      <c r="J87" s="174">
        <f t="shared" si="34"/>
        <v>222</v>
      </c>
      <c r="K87" s="175"/>
      <c r="L87" s="107"/>
      <c r="M87" s="109">
        <f t="shared" si="24"/>
        <v>0</v>
      </c>
      <c r="N87" s="111"/>
      <c r="O87" s="111"/>
      <c r="P87" s="109"/>
      <c r="Q87" s="112"/>
      <c r="R87" s="109">
        <f t="shared" si="25"/>
        <v>0</v>
      </c>
      <c r="S87" s="111"/>
      <c r="T87" s="111"/>
      <c r="U87" s="110"/>
      <c r="V87" s="112"/>
      <c r="W87" s="109">
        <f t="shared" si="23"/>
        <v>0</v>
      </c>
      <c r="X87" s="111"/>
      <c r="Y87" s="111"/>
      <c r="Z87" s="109"/>
      <c r="AA87" s="109"/>
      <c r="AB87" s="109">
        <f t="shared" si="42"/>
        <v>0</v>
      </c>
      <c r="AC87" s="111"/>
      <c r="AD87" s="111"/>
      <c r="AE87" s="110"/>
      <c r="AF87" s="112"/>
      <c r="AG87" s="109">
        <f t="shared" si="29"/>
        <v>0</v>
      </c>
      <c r="AH87" s="111"/>
      <c r="AI87" s="111"/>
      <c r="AJ87" s="109"/>
      <c r="AK87" s="174"/>
      <c r="AL87" s="109">
        <f t="shared" si="30"/>
        <v>0</v>
      </c>
      <c r="AM87" s="176"/>
      <c r="AN87" s="176"/>
      <c r="AO87" s="110"/>
      <c r="AP87" s="177">
        <v>240</v>
      </c>
      <c r="AQ87" s="109">
        <f t="shared" si="35"/>
        <v>136</v>
      </c>
      <c r="AR87" s="176">
        <v>22</v>
      </c>
      <c r="AS87" s="176">
        <v>114</v>
      </c>
      <c r="AT87" s="109">
        <v>6</v>
      </c>
      <c r="AU87" s="177">
        <v>240</v>
      </c>
      <c r="AV87" s="109">
        <f t="shared" si="36"/>
        <v>136</v>
      </c>
      <c r="AW87" s="176">
        <v>28</v>
      </c>
      <c r="AX87" s="176">
        <v>108</v>
      </c>
      <c r="AY87" s="110">
        <v>6</v>
      </c>
      <c r="AZ87" s="112"/>
      <c r="BA87" s="109">
        <f t="shared" si="37"/>
        <v>0</v>
      </c>
      <c r="BB87" s="111"/>
      <c r="BC87" s="111"/>
      <c r="BD87" s="109"/>
      <c r="BE87" s="174"/>
      <c r="BF87" s="109">
        <f t="shared" si="38"/>
        <v>0</v>
      </c>
      <c r="BG87" s="176"/>
      <c r="BH87" s="176"/>
      <c r="BI87" s="110"/>
      <c r="BJ87" s="177"/>
      <c r="BK87" s="109">
        <f t="shared" si="39"/>
        <v>0</v>
      </c>
      <c r="BL87" s="176"/>
      <c r="BM87" s="176"/>
      <c r="BN87" s="109"/>
      <c r="BO87" s="177"/>
      <c r="BP87" s="109">
        <f t="shared" si="40"/>
        <v>0</v>
      </c>
      <c r="BQ87" s="176"/>
      <c r="BR87" s="176"/>
      <c r="BS87" s="110"/>
      <c r="BT87" s="167">
        <f t="shared" si="41"/>
        <v>12</v>
      </c>
      <c r="BU87" s="156" t="s">
        <v>415</v>
      </c>
      <c r="BV87" s="66"/>
      <c r="BW87" s="66"/>
      <c r="BX87" s="85"/>
      <c r="BY87" s="85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</row>
    <row r="88" spans="2:131" ht="58.5" outlineLevel="1">
      <c r="B88" s="188" t="s">
        <v>277</v>
      </c>
      <c r="C88" s="200" t="s">
        <v>189</v>
      </c>
      <c r="D88" s="113"/>
      <c r="E88" s="114"/>
      <c r="F88" s="115"/>
      <c r="G88" s="116"/>
      <c r="H88" s="115"/>
      <c r="I88" s="117"/>
      <c r="J88" s="117"/>
      <c r="K88" s="118"/>
      <c r="L88" s="115"/>
      <c r="M88" s="117"/>
      <c r="N88" s="119"/>
      <c r="O88" s="119"/>
      <c r="P88" s="117"/>
      <c r="Q88" s="117"/>
      <c r="R88" s="117"/>
      <c r="S88" s="119"/>
      <c r="T88" s="119"/>
      <c r="U88" s="118"/>
      <c r="V88" s="120"/>
      <c r="W88" s="117"/>
      <c r="X88" s="119"/>
      <c r="Y88" s="119"/>
      <c r="Z88" s="117"/>
      <c r="AA88" s="120"/>
      <c r="AB88" s="117"/>
      <c r="AC88" s="119"/>
      <c r="AD88" s="119"/>
      <c r="AE88" s="118"/>
      <c r="AF88" s="120"/>
      <c r="AG88" s="117"/>
      <c r="AH88" s="119"/>
      <c r="AI88" s="119"/>
      <c r="AJ88" s="117"/>
      <c r="AK88" s="117"/>
      <c r="AL88" s="117"/>
      <c r="AM88" s="119"/>
      <c r="AN88" s="119"/>
      <c r="AO88" s="118"/>
      <c r="AP88" s="120"/>
      <c r="AQ88" s="117"/>
      <c r="AR88" s="119"/>
      <c r="AS88" s="119"/>
      <c r="AT88" s="117"/>
      <c r="AU88" s="117"/>
      <c r="AV88" s="117"/>
      <c r="AW88" s="119"/>
      <c r="AX88" s="119"/>
      <c r="AY88" s="118"/>
      <c r="AZ88" s="120"/>
      <c r="BA88" s="117"/>
      <c r="BB88" s="119"/>
      <c r="BC88" s="119"/>
      <c r="BD88" s="117"/>
      <c r="BE88" s="117"/>
      <c r="BF88" s="117"/>
      <c r="BG88" s="119"/>
      <c r="BH88" s="119"/>
      <c r="BI88" s="118"/>
      <c r="BJ88" s="120"/>
      <c r="BK88" s="117"/>
      <c r="BL88" s="119"/>
      <c r="BM88" s="119"/>
      <c r="BN88" s="117"/>
      <c r="BO88" s="117"/>
      <c r="BP88" s="117"/>
      <c r="BQ88" s="119"/>
      <c r="BR88" s="119"/>
      <c r="BS88" s="118"/>
      <c r="BT88" s="121"/>
      <c r="BU88" s="151"/>
      <c r="BV88" s="66"/>
      <c r="BW88" s="66"/>
      <c r="BX88" s="85"/>
      <c r="BY88" s="85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</row>
    <row r="89" spans="2:131" ht="46.5" customHeight="1" outlineLevel="1">
      <c r="B89" s="170" t="s">
        <v>278</v>
      </c>
      <c r="C89" s="153" t="s">
        <v>89</v>
      </c>
      <c r="D89" s="104">
        <v>8</v>
      </c>
      <c r="E89" s="105"/>
      <c r="F89" s="107">
        <f>SUM(L89,Q89,V89,AA89,AF89,AK89,AP89,AU89,AZ89,BE89,BJ89,BO89)</f>
        <v>181</v>
      </c>
      <c r="G89" s="108">
        <f>SUM(H89:K89)</f>
        <v>104</v>
      </c>
      <c r="H89" s="107">
        <f>SUM(N89,S89,X89,AC89,AH89,AM89,AR89,AW89,BB89,BG89,BL89,BQ89)</f>
        <v>20</v>
      </c>
      <c r="I89" s="109"/>
      <c r="J89" s="109">
        <f>SUM(O89,T89,Y89,AD89,AI89,AN89,AS89,AX89,BC89,BH89,BM89,BR89)</f>
        <v>84</v>
      </c>
      <c r="K89" s="110"/>
      <c r="L89" s="107"/>
      <c r="M89" s="109">
        <f t="shared" si="24"/>
        <v>0</v>
      </c>
      <c r="N89" s="111"/>
      <c r="O89" s="111"/>
      <c r="P89" s="109"/>
      <c r="Q89" s="109"/>
      <c r="R89" s="109">
        <f t="shared" si="25"/>
        <v>0</v>
      </c>
      <c r="S89" s="111"/>
      <c r="T89" s="111"/>
      <c r="U89" s="110"/>
      <c r="V89" s="112"/>
      <c r="W89" s="109">
        <f t="shared" si="23"/>
        <v>0</v>
      </c>
      <c r="X89" s="111"/>
      <c r="Y89" s="111"/>
      <c r="Z89" s="109"/>
      <c r="AA89" s="109"/>
      <c r="AB89" s="109">
        <f t="shared" si="42"/>
        <v>0</v>
      </c>
      <c r="AC89" s="111"/>
      <c r="AD89" s="111"/>
      <c r="AE89" s="110"/>
      <c r="AF89" s="112"/>
      <c r="AG89" s="109">
        <f t="shared" si="29"/>
        <v>0</v>
      </c>
      <c r="AH89" s="111"/>
      <c r="AI89" s="111"/>
      <c r="AJ89" s="109"/>
      <c r="AK89" s="109"/>
      <c r="AL89" s="109">
        <f t="shared" si="30"/>
        <v>0</v>
      </c>
      <c r="AM89" s="111"/>
      <c r="AN89" s="111"/>
      <c r="AO89" s="110"/>
      <c r="AP89" s="112">
        <v>70</v>
      </c>
      <c r="AQ89" s="109">
        <f t="shared" si="35"/>
        <v>36</v>
      </c>
      <c r="AR89" s="111">
        <v>6</v>
      </c>
      <c r="AS89" s="111">
        <v>30</v>
      </c>
      <c r="AT89" s="109"/>
      <c r="AU89" s="109">
        <v>111</v>
      </c>
      <c r="AV89" s="109">
        <f t="shared" si="36"/>
        <v>68</v>
      </c>
      <c r="AW89" s="111">
        <v>14</v>
      </c>
      <c r="AX89" s="111">
        <v>54</v>
      </c>
      <c r="AY89" s="110">
        <v>5</v>
      </c>
      <c r="AZ89" s="112"/>
      <c r="BA89" s="109">
        <f t="shared" si="37"/>
        <v>0</v>
      </c>
      <c r="BB89" s="111"/>
      <c r="BC89" s="111"/>
      <c r="BD89" s="109"/>
      <c r="BE89" s="109"/>
      <c r="BF89" s="109">
        <f t="shared" si="38"/>
        <v>0</v>
      </c>
      <c r="BG89" s="111"/>
      <c r="BH89" s="111"/>
      <c r="BI89" s="110"/>
      <c r="BJ89" s="112"/>
      <c r="BK89" s="109">
        <f t="shared" si="39"/>
        <v>0</v>
      </c>
      <c r="BL89" s="111"/>
      <c r="BM89" s="111"/>
      <c r="BN89" s="109"/>
      <c r="BO89" s="109"/>
      <c r="BP89" s="109">
        <f t="shared" si="40"/>
        <v>0</v>
      </c>
      <c r="BQ89" s="111"/>
      <c r="BR89" s="111"/>
      <c r="BS89" s="110"/>
      <c r="BT89" s="167">
        <f t="shared" si="41"/>
        <v>5</v>
      </c>
      <c r="BU89" s="253" t="s">
        <v>418</v>
      </c>
      <c r="BV89" s="66"/>
      <c r="BW89" s="66"/>
      <c r="BX89" s="85"/>
      <c r="BY89" s="85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</row>
    <row r="90" spans="2:131" ht="58.5" outlineLevel="1">
      <c r="B90" s="188" t="s">
        <v>279</v>
      </c>
      <c r="C90" s="200" t="s">
        <v>362</v>
      </c>
      <c r="D90" s="113"/>
      <c r="E90" s="114"/>
      <c r="F90" s="115"/>
      <c r="G90" s="116"/>
      <c r="H90" s="115"/>
      <c r="I90" s="117"/>
      <c r="J90" s="117"/>
      <c r="K90" s="118"/>
      <c r="L90" s="115"/>
      <c r="M90" s="117"/>
      <c r="N90" s="119"/>
      <c r="O90" s="119"/>
      <c r="P90" s="117"/>
      <c r="Q90" s="117"/>
      <c r="R90" s="117"/>
      <c r="S90" s="119"/>
      <c r="T90" s="119"/>
      <c r="U90" s="118"/>
      <c r="V90" s="120"/>
      <c r="W90" s="117"/>
      <c r="X90" s="119"/>
      <c r="Y90" s="119"/>
      <c r="Z90" s="117"/>
      <c r="AA90" s="120"/>
      <c r="AB90" s="117"/>
      <c r="AC90" s="119"/>
      <c r="AD90" s="119"/>
      <c r="AE90" s="118"/>
      <c r="AF90" s="120"/>
      <c r="AG90" s="117"/>
      <c r="AH90" s="119"/>
      <c r="AI90" s="119"/>
      <c r="AJ90" s="117"/>
      <c r="AK90" s="117"/>
      <c r="AL90" s="117"/>
      <c r="AM90" s="119"/>
      <c r="AN90" s="119"/>
      <c r="AO90" s="118"/>
      <c r="AP90" s="120"/>
      <c r="AQ90" s="117"/>
      <c r="AR90" s="119"/>
      <c r="AS90" s="119"/>
      <c r="AT90" s="117"/>
      <c r="AU90" s="117"/>
      <c r="AV90" s="117"/>
      <c r="AW90" s="119"/>
      <c r="AX90" s="119"/>
      <c r="AY90" s="118"/>
      <c r="AZ90" s="120"/>
      <c r="BA90" s="117"/>
      <c r="BB90" s="119"/>
      <c r="BC90" s="119"/>
      <c r="BD90" s="117"/>
      <c r="BE90" s="117"/>
      <c r="BF90" s="117"/>
      <c r="BG90" s="119"/>
      <c r="BH90" s="119"/>
      <c r="BI90" s="118"/>
      <c r="BJ90" s="120"/>
      <c r="BK90" s="117"/>
      <c r="BL90" s="119"/>
      <c r="BM90" s="119"/>
      <c r="BN90" s="117"/>
      <c r="BO90" s="117"/>
      <c r="BP90" s="117"/>
      <c r="BQ90" s="119"/>
      <c r="BR90" s="119"/>
      <c r="BS90" s="118"/>
      <c r="BT90" s="121"/>
      <c r="BU90" s="151"/>
      <c r="BV90" s="66"/>
      <c r="BW90" s="66"/>
      <c r="BX90" s="85"/>
      <c r="BY90" s="85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</row>
    <row r="91" spans="2:131" ht="56.25" outlineLevel="1">
      <c r="B91" s="170" t="s">
        <v>280</v>
      </c>
      <c r="C91" s="153" t="s">
        <v>340</v>
      </c>
      <c r="D91" s="255" t="s">
        <v>180</v>
      </c>
      <c r="E91" s="105">
        <v>7</v>
      </c>
      <c r="F91" s="107">
        <f>SUM(L91,Q91,V91,AA91,AF91,AK91,AP91,AU91,AZ91,BE91,BJ91,BO91)</f>
        <v>404</v>
      </c>
      <c r="G91" s="108">
        <f>SUM(H91:K91)</f>
        <v>200</v>
      </c>
      <c r="H91" s="107">
        <f>SUM(N91,S91,X91,AC91,AH91,AM91,AR91,AW91,BB91,BG91,BL91,BQ91)</f>
        <v>32</v>
      </c>
      <c r="I91" s="109"/>
      <c r="J91" s="109">
        <f>SUM(O91,T91,Y91,AD91,AI91,AN91,AS91,AX91,BC91,BH91,BM91,BR91)</f>
        <v>168</v>
      </c>
      <c r="K91" s="110"/>
      <c r="L91" s="107"/>
      <c r="M91" s="109">
        <f t="shared" si="24"/>
        <v>0</v>
      </c>
      <c r="N91" s="111"/>
      <c r="O91" s="111"/>
      <c r="P91" s="109"/>
      <c r="Q91" s="109"/>
      <c r="R91" s="109">
        <f t="shared" si="25"/>
        <v>0</v>
      </c>
      <c r="S91" s="111"/>
      <c r="T91" s="111"/>
      <c r="U91" s="110"/>
      <c r="V91" s="112"/>
      <c r="W91" s="109">
        <f t="shared" si="23"/>
        <v>0</v>
      </c>
      <c r="X91" s="111"/>
      <c r="Y91" s="111"/>
      <c r="Z91" s="109"/>
      <c r="AA91" s="109"/>
      <c r="AB91" s="109">
        <f t="shared" si="42"/>
        <v>0</v>
      </c>
      <c r="AC91" s="111"/>
      <c r="AD91" s="111"/>
      <c r="AE91" s="110"/>
      <c r="AF91" s="112"/>
      <c r="AG91" s="109">
        <f t="shared" si="29"/>
        <v>0</v>
      </c>
      <c r="AH91" s="111"/>
      <c r="AI91" s="111"/>
      <c r="AJ91" s="109"/>
      <c r="AK91" s="109"/>
      <c r="AL91" s="109">
        <f t="shared" si="30"/>
        <v>0</v>
      </c>
      <c r="AM91" s="111"/>
      <c r="AN91" s="111"/>
      <c r="AO91" s="110"/>
      <c r="AP91" s="112">
        <v>120</v>
      </c>
      <c r="AQ91" s="109">
        <f t="shared" si="35"/>
        <v>50</v>
      </c>
      <c r="AR91" s="111">
        <v>8</v>
      </c>
      <c r="AS91" s="111">
        <v>42</v>
      </c>
      <c r="AT91" s="109">
        <v>3</v>
      </c>
      <c r="AU91" s="109">
        <v>108</v>
      </c>
      <c r="AV91" s="109">
        <f t="shared" si="36"/>
        <v>50</v>
      </c>
      <c r="AW91" s="111">
        <v>8</v>
      </c>
      <c r="AX91" s="111">
        <v>42</v>
      </c>
      <c r="AY91" s="110">
        <v>3</v>
      </c>
      <c r="AZ91" s="112">
        <v>90</v>
      </c>
      <c r="BA91" s="109">
        <f t="shared" si="37"/>
        <v>50</v>
      </c>
      <c r="BB91" s="111">
        <v>8</v>
      </c>
      <c r="BC91" s="111">
        <v>42</v>
      </c>
      <c r="BD91" s="109"/>
      <c r="BE91" s="109">
        <v>86</v>
      </c>
      <c r="BF91" s="109">
        <f t="shared" si="38"/>
        <v>50</v>
      </c>
      <c r="BG91" s="111">
        <v>8</v>
      </c>
      <c r="BH91" s="111">
        <v>42</v>
      </c>
      <c r="BI91" s="110">
        <v>4</v>
      </c>
      <c r="BJ91" s="112"/>
      <c r="BK91" s="109">
        <f t="shared" si="39"/>
        <v>0</v>
      </c>
      <c r="BL91" s="111"/>
      <c r="BM91" s="111"/>
      <c r="BN91" s="109"/>
      <c r="BO91" s="109"/>
      <c r="BP91" s="109">
        <f t="shared" si="40"/>
        <v>0</v>
      </c>
      <c r="BQ91" s="111"/>
      <c r="BR91" s="111"/>
      <c r="BS91" s="110"/>
      <c r="BT91" s="167">
        <f t="shared" si="41"/>
        <v>10</v>
      </c>
      <c r="BU91" s="253" t="s">
        <v>419</v>
      </c>
      <c r="BV91" s="66"/>
      <c r="BW91" s="66"/>
      <c r="BX91" s="85"/>
      <c r="BY91" s="85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</row>
    <row r="92" spans="2:131" ht="20.25" outlineLevel="1">
      <c r="B92" s="170" t="s">
        <v>281</v>
      </c>
      <c r="C92" s="153" t="s">
        <v>95</v>
      </c>
      <c r="D92" s="104"/>
      <c r="E92" s="105">
        <v>10</v>
      </c>
      <c r="F92" s="107">
        <f>SUM(L92,Q92,V92,AA92,AF92,AK92,AP92,AU92,AZ92,BE92,BJ92,BO92)</f>
        <v>108</v>
      </c>
      <c r="G92" s="108">
        <f>SUM(H92:K92)</f>
        <v>40</v>
      </c>
      <c r="H92" s="107">
        <f>SUM(N92,S92,X92,AC92,AH92,AM92,AR92,AW92,BB92,BG92,BL92,BQ92)</f>
        <v>10</v>
      </c>
      <c r="I92" s="109"/>
      <c r="J92" s="109">
        <f>SUM(O92,T92,Y92,AD92,AI92,AN92,AS92,AX92,BC92,BH92,BM92,BR92)</f>
        <v>30</v>
      </c>
      <c r="K92" s="110"/>
      <c r="L92" s="107"/>
      <c r="M92" s="109">
        <f t="shared" si="24"/>
        <v>0</v>
      </c>
      <c r="N92" s="111"/>
      <c r="O92" s="111"/>
      <c r="P92" s="109"/>
      <c r="Q92" s="109"/>
      <c r="R92" s="109">
        <f t="shared" si="25"/>
        <v>0</v>
      </c>
      <c r="S92" s="111"/>
      <c r="T92" s="111"/>
      <c r="U92" s="110"/>
      <c r="V92" s="112"/>
      <c r="W92" s="109">
        <f aca="true" t="shared" si="43" ref="W92:W110">SUM(X92:Y92)</f>
        <v>0</v>
      </c>
      <c r="X92" s="111"/>
      <c r="Y92" s="111"/>
      <c r="Z92" s="109"/>
      <c r="AA92" s="109"/>
      <c r="AB92" s="109">
        <f t="shared" si="42"/>
        <v>0</v>
      </c>
      <c r="AC92" s="111"/>
      <c r="AD92" s="111"/>
      <c r="AE92" s="110"/>
      <c r="AF92" s="112"/>
      <c r="AG92" s="109">
        <f t="shared" si="29"/>
        <v>0</v>
      </c>
      <c r="AH92" s="111"/>
      <c r="AI92" s="111"/>
      <c r="AJ92" s="109"/>
      <c r="AK92" s="112"/>
      <c r="AL92" s="109">
        <f t="shared" si="30"/>
        <v>0</v>
      </c>
      <c r="AM92" s="111"/>
      <c r="AN92" s="111"/>
      <c r="AO92" s="110"/>
      <c r="AP92" s="112"/>
      <c r="AQ92" s="109">
        <f t="shared" si="35"/>
        <v>0</v>
      </c>
      <c r="AR92" s="111"/>
      <c r="AS92" s="111"/>
      <c r="AT92" s="109"/>
      <c r="AU92" s="109"/>
      <c r="AV92" s="109">
        <f t="shared" si="36"/>
        <v>0</v>
      </c>
      <c r="AW92" s="111"/>
      <c r="AX92" s="111"/>
      <c r="AY92" s="110"/>
      <c r="AZ92" s="112"/>
      <c r="BA92" s="109">
        <f t="shared" si="37"/>
        <v>0</v>
      </c>
      <c r="BB92" s="111"/>
      <c r="BC92" s="111"/>
      <c r="BD92" s="109"/>
      <c r="BE92" s="112">
        <v>108</v>
      </c>
      <c r="BF92" s="109">
        <f t="shared" si="38"/>
        <v>40</v>
      </c>
      <c r="BG92" s="111">
        <v>10</v>
      </c>
      <c r="BH92" s="111">
        <v>30</v>
      </c>
      <c r="BI92" s="110">
        <v>3</v>
      </c>
      <c r="BJ92" s="112"/>
      <c r="BK92" s="109">
        <f t="shared" si="39"/>
        <v>0</v>
      </c>
      <c r="BL92" s="111"/>
      <c r="BM92" s="111"/>
      <c r="BN92" s="109"/>
      <c r="BO92" s="109"/>
      <c r="BP92" s="109">
        <f t="shared" si="40"/>
        <v>0</v>
      </c>
      <c r="BQ92" s="111"/>
      <c r="BR92" s="111"/>
      <c r="BS92" s="110"/>
      <c r="BT92" s="167">
        <f t="shared" si="41"/>
        <v>3</v>
      </c>
      <c r="BU92" s="253" t="s">
        <v>420</v>
      </c>
      <c r="BV92" s="66"/>
      <c r="BW92" s="66"/>
      <c r="BX92" s="85"/>
      <c r="BY92" s="85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</row>
    <row r="93" spans="2:131" ht="37.5" outlineLevel="1">
      <c r="B93" s="170" t="s">
        <v>486</v>
      </c>
      <c r="C93" s="153" t="s">
        <v>92</v>
      </c>
      <c r="D93" s="104"/>
      <c r="E93" s="105">
        <v>12</v>
      </c>
      <c r="F93" s="107">
        <f>SUM(L93,Q93,V93,AA93,AF93,AK93,AP93,AU93,AZ93,BE93,BJ93,BO93)</f>
        <v>90</v>
      </c>
      <c r="G93" s="108">
        <f>SUM(H93:K93)</f>
        <v>37</v>
      </c>
      <c r="H93" s="107">
        <f>SUM(N93,S93,X93,AC93,AH93,AM93,AR93,AW93,BB93,BG93,BL93,BQ93)</f>
        <v>12</v>
      </c>
      <c r="I93" s="109"/>
      <c r="J93" s="109">
        <f>SUM(O93,T93,Y93,AD93,AI93,AN93,AS93,AX93,BC93,BH93,BM93,BR93)</f>
        <v>25</v>
      </c>
      <c r="K93" s="110"/>
      <c r="L93" s="107"/>
      <c r="M93" s="109">
        <f t="shared" si="24"/>
        <v>0</v>
      </c>
      <c r="N93" s="111"/>
      <c r="O93" s="111"/>
      <c r="P93" s="109"/>
      <c r="Q93" s="109"/>
      <c r="R93" s="109">
        <f t="shared" si="25"/>
        <v>0</v>
      </c>
      <c r="S93" s="111"/>
      <c r="T93" s="111"/>
      <c r="U93" s="110"/>
      <c r="V93" s="112"/>
      <c r="W93" s="109">
        <f t="shared" si="43"/>
        <v>0</v>
      </c>
      <c r="X93" s="111"/>
      <c r="Y93" s="111"/>
      <c r="Z93" s="109"/>
      <c r="AA93" s="109"/>
      <c r="AB93" s="109">
        <f t="shared" si="42"/>
        <v>0</v>
      </c>
      <c r="AC93" s="111"/>
      <c r="AD93" s="111"/>
      <c r="AE93" s="110"/>
      <c r="AF93" s="112"/>
      <c r="AG93" s="109">
        <f t="shared" si="29"/>
        <v>0</v>
      </c>
      <c r="AH93" s="111"/>
      <c r="AI93" s="111"/>
      <c r="AJ93" s="109"/>
      <c r="AK93" s="109"/>
      <c r="AL93" s="109">
        <f t="shared" si="30"/>
        <v>0</v>
      </c>
      <c r="AM93" s="111"/>
      <c r="AN93" s="111"/>
      <c r="AO93" s="110"/>
      <c r="AP93" s="112"/>
      <c r="AQ93" s="109">
        <f t="shared" si="35"/>
        <v>0</v>
      </c>
      <c r="AR93" s="111"/>
      <c r="AS93" s="111"/>
      <c r="AT93" s="109"/>
      <c r="AU93" s="109"/>
      <c r="AV93" s="109">
        <f t="shared" si="36"/>
        <v>0</v>
      </c>
      <c r="AW93" s="111"/>
      <c r="AX93" s="111"/>
      <c r="AY93" s="110"/>
      <c r="AZ93" s="112"/>
      <c r="BA93" s="109">
        <f t="shared" si="37"/>
        <v>0</v>
      </c>
      <c r="BB93" s="111"/>
      <c r="BC93" s="111"/>
      <c r="BD93" s="109"/>
      <c r="BE93" s="109"/>
      <c r="BF93" s="109">
        <f t="shared" si="38"/>
        <v>0</v>
      </c>
      <c r="BG93" s="111"/>
      <c r="BH93" s="111"/>
      <c r="BI93" s="110"/>
      <c r="BJ93" s="112"/>
      <c r="BK93" s="109">
        <f t="shared" si="39"/>
        <v>0</v>
      </c>
      <c r="BL93" s="111"/>
      <c r="BM93" s="111"/>
      <c r="BN93" s="109"/>
      <c r="BO93" s="109">
        <v>90</v>
      </c>
      <c r="BP93" s="109">
        <f t="shared" si="40"/>
        <v>37</v>
      </c>
      <c r="BQ93" s="111">
        <v>12</v>
      </c>
      <c r="BR93" s="111">
        <v>25</v>
      </c>
      <c r="BS93" s="110">
        <v>3</v>
      </c>
      <c r="BT93" s="167">
        <f t="shared" si="41"/>
        <v>3</v>
      </c>
      <c r="BU93" s="253" t="s">
        <v>421</v>
      </c>
      <c r="BV93" s="66"/>
      <c r="BW93" s="66"/>
      <c r="BX93" s="85"/>
      <c r="BY93" s="85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</row>
    <row r="94" spans="2:131" ht="39" outlineLevel="1">
      <c r="B94" s="188" t="s">
        <v>282</v>
      </c>
      <c r="C94" s="200" t="s">
        <v>361</v>
      </c>
      <c r="D94" s="113"/>
      <c r="E94" s="114"/>
      <c r="F94" s="115"/>
      <c r="G94" s="116"/>
      <c r="H94" s="115"/>
      <c r="I94" s="117"/>
      <c r="J94" s="117"/>
      <c r="K94" s="118"/>
      <c r="L94" s="115"/>
      <c r="M94" s="117"/>
      <c r="N94" s="119"/>
      <c r="O94" s="119"/>
      <c r="P94" s="117"/>
      <c r="Q94" s="117"/>
      <c r="R94" s="117"/>
      <c r="S94" s="119"/>
      <c r="T94" s="119"/>
      <c r="U94" s="118"/>
      <c r="V94" s="120"/>
      <c r="W94" s="117"/>
      <c r="X94" s="119"/>
      <c r="Y94" s="119"/>
      <c r="Z94" s="117"/>
      <c r="AA94" s="120"/>
      <c r="AB94" s="117"/>
      <c r="AC94" s="119"/>
      <c r="AD94" s="119"/>
      <c r="AE94" s="118"/>
      <c r="AF94" s="120"/>
      <c r="AG94" s="117"/>
      <c r="AH94" s="119"/>
      <c r="AI94" s="119"/>
      <c r="AJ94" s="117"/>
      <c r="AK94" s="117"/>
      <c r="AL94" s="117"/>
      <c r="AM94" s="119"/>
      <c r="AN94" s="119"/>
      <c r="AO94" s="118"/>
      <c r="AP94" s="120"/>
      <c r="AQ94" s="117"/>
      <c r="AR94" s="119"/>
      <c r="AS94" s="119"/>
      <c r="AT94" s="117"/>
      <c r="AU94" s="117"/>
      <c r="AV94" s="117"/>
      <c r="AW94" s="119"/>
      <c r="AX94" s="119"/>
      <c r="AY94" s="118"/>
      <c r="AZ94" s="120"/>
      <c r="BA94" s="117"/>
      <c r="BB94" s="119"/>
      <c r="BC94" s="119"/>
      <c r="BD94" s="117"/>
      <c r="BE94" s="117"/>
      <c r="BF94" s="117"/>
      <c r="BG94" s="119"/>
      <c r="BH94" s="119"/>
      <c r="BI94" s="118"/>
      <c r="BJ94" s="120"/>
      <c r="BK94" s="117"/>
      <c r="BL94" s="119"/>
      <c r="BM94" s="119"/>
      <c r="BN94" s="117"/>
      <c r="BO94" s="117"/>
      <c r="BP94" s="117"/>
      <c r="BQ94" s="119"/>
      <c r="BR94" s="119"/>
      <c r="BS94" s="118"/>
      <c r="BT94" s="121"/>
      <c r="BU94" s="151"/>
      <c r="BV94" s="66"/>
      <c r="BW94" s="66"/>
      <c r="BX94" s="85"/>
      <c r="BY94" s="85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</row>
    <row r="95" spans="2:131" ht="63.75" customHeight="1" outlineLevel="1">
      <c r="B95" s="170" t="s">
        <v>283</v>
      </c>
      <c r="C95" s="153" t="s">
        <v>244</v>
      </c>
      <c r="D95" s="104">
        <v>7</v>
      </c>
      <c r="E95" s="105"/>
      <c r="F95" s="107">
        <f aca="true" t="shared" si="44" ref="F95:F100">SUM(L95,Q95,V95,AA95,AF95,AK95,AP95,AU95,AZ95,BE95,BJ95,BO95)</f>
        <v>138</v>
      </c>
      <c r="G95" s="108">
        <f aca="true" t="shared" si="45" ref="G95:G100">SUM(H95:K95)</f>
        <v>90</v>
      </c>
      <c r="H95" s="107">
        <f aca="true" t="shared" si="46" ref="H95:H100">SUM(N95,S95,X95,AC95,AH95,AM95,AR95,AW95,BB95,BG95,BL95,BQ95)</f>
        <v>12</v>
      </c>
      <c r="I95" s="109"/>
      <c r="J95" s="109">
        <f aca="true" t="shared" si="47" ref="J95:J100">SUM(O95,T95,Y95,AD95,AI95,AN95,AS95,AX95,BC95,BH95,BM95,BR95)</f>
        <v>78</v>
      </c>
      <c r="K95" s="110"/>
      <c r="L95" s="107"/>
      <c r="M95" s="109">
        <f t="shared" si="24"/>
        <v>0</v>
      </c>
      <c r="N95" s="111"/>
      <c r="O95" s="111"/>
      <c r="P95" s="109"/>
      <c r="Q95" s="109"/>
      <c r="R95" s="109">
        <f t="shared" si="25"/>
        <v>0</v>
      </c>
      <c r="S95" s="111"/>
      <c r="T95" s="111"/>
      <c r="U95" s="110"/>
      <c r="V95" s="112"/>
      <c r="W95" s="109">
        <f t="shared" si="43"/>
        <v>0</v>
      </c>
      <c r="X95" s="111"/>
      <c r="Y95" s="111"/>
      <c r="Z95" s="109"/>
      <c r="AA95" s="109"/>
      <c r="AB95" s="109">
        <f t="shared" si="42"/>
        <v>0</v>
      </c>
      <c r="AC95" s="111"/>
      <c r="AD95" s="111"/>
      <c r="AE95" s="110"/>
      <c r="AF95" s="112"/>
      <c r="AG95" s="109">
        <f t="shared" si="29"/>
        <v>0</v>
      </c>
      <c r="AH95" s="111"/>
      <c r="AI95" s="111"/>
      <c r="AJ95" s="109"/>
      <c r="AK95" s="109"/>
      <c r="AL95" s="109">
        <f t="shared" si="30"/>
        <v>0</v>
      </c>
      <c r="AM95" s="111"/>
      <c r="AN95" s="111"/>
      <c r="AO95" s="110"/>
      <c r="AP95" s="112">
        <v>138</v>
      </c>
      <c r="AQ95" s="109">
        <f t="shared" si="35"/>
        <v>90</v>
      </c>
      <c r="AR95" s="111">
        <v>12</v>
      </c>
      <c r="AS95" s="111">
        <v>78</v>
      </c>
      <c r="AT95" s="109">
        <v>3</v>
      </c>
      <c r="AU95" s="109"/>
      <c r="AV95" s="109">
        <f t="shared" si="36"/>
        <v>0</v>
      </c>
      <c r="AW95" s="111"/>
      <c r="AX95" s="111"/>
      <c r="AY95" s="110"/>
      <c r="AZ95" s="112"/>
      <c r="BA95" s="109">
        <f t="shared" si="37"/>
        <v>0</v>
      </c>
      <c r="BB95" s="111"/>
      <c r="BC95" s="111"/>
      <c r="BD95" s="109"/>
      <c r="BE95" s="109"/>
      <c r="BF95" s="109">
        <f t="shared" si="38"/>
        <v>0</v>
      </c>
      <c r="BG95" s="111"/>
      <c r="BH95" s="111"/>
      <c r="BI95" s="110"/>
      <c r="BJ95" s="112"/>
      <c r="BK95" s="109">
        <f t="shared" si="39"/>
        <v>0</v>
      </c>
      <c r="BL95" s="111"/>
      <c r="BM95" s="111"/>
      <c r="BN95" s="109"/>
      <c r="BO95" s="109"/>
      <c r="BP95" s="109">
        <f t="shared" si="40"/>
        <v>0</v>
      </c>
      <c r="BQ95" s="111"/>
      <c r="BR95" s="111"/>
      <c r="BS95" s="110"/>
      <c r="BT95" s="167">
        <f t="shared" si="41"/>
        <v>3</v>
      </c>
      <c r="BU95" s="253" t="s">
        <v>427</v>
      </c>
      <c r="BV95" s="66"/>
      <c r="BW95" s="66"/>
      <c r="BX95" s="85"/>
      <c r="BY95" s="85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</row>
    <row r="96" spans="2:131" ht="39.75" customHeight="1" outlineLevel="1">
      <c r="B96" s="170" t="s">
        <v>284</v>
      </c>
      <c r="C96" s="153" t="s">
        <v>88</v>
      </c>
      <c r="D96" s="104">
        <v>10</v>
      </c>
      <c r="E96" s="105" t="s">
        <v>245</v>
      </c>
      <c r="F96" s="107">
        <f t="shared" si="44"/>
        <v>352</v>
      </c>
      <c r="G96" s="108">
        <f t="shared" si="45"/>
        <v>187</v>
      </c>
      <c r="H96" s="107">
        <f t="shared" si="46"/>
        <v>40</v>
      </c>
      <c r="I96" s="109"/>
      <c r="J96" s="109">
        <f t="shared" si="47"/>
        <v>147</v>
      </c>
      <c r="K96" s="110"/>
      <c r="L96" s="107"/>
      <c r="M96" s="109">
        <f t="shared" si="24"/>
        <v>0</v>
      </c>
      <c r="N96" s="111"/>
      <c r="O96" s="111"/>
      <c r="P96" s="109"/>
      <c r="Q96" s="109"/>
      <c r="R96" s="109">
        <f t="shared" si="25"/>
        <v>0</v>
      </c>
      <c r="S96" s="111"/>
      <c r="T96" s="111"/>
      <c r="U96" s="110"/>
      <c r="V96" s="112"/>
      <c r="W96" s="109">
        <f t="shared" si="43"/>
        <v>0</v>
      </c>
      <c r="X96" s="111"/>
      <c r="Y96" s="111"/>
      <c r="Z96" s="109"/>
      <c r="AA96" s="109"/>
      <c r="AB96" s="109">
        <f t="shared" si="42"/>
        <v>0</v>
      </c>
      <c r="AC96" s="111"/>
      <c r="AD96" s="111"/>
      <c r="AE96" s="110"/>
      <c r="AF96" s="112"/>
      <c r="AG96" s="109">
        <f t="shared" si="29"/>
        <v>0</v>
      </c>
      <c r="AH96" s="111"/>
      <c r="AI96" s="111"/>
      <c r="AJ96" s="109"/>
      <c r="AK96" s="109"/>
      <c r="AL96" s="109">
        <f t="shared" si="30"/>
        <v>0</v>
      </c>
      <c r="AM96" s="111"/>
      <c r="AN96" s="111"/>
      <c r="AO96" s="110"/>
      <c r="AP96" s="112"/>
      <c r="AQ96" s="109">
        <f t="shared" si="35"/>
        <v>0</v>
      </c>
      <c r="AR96" s="111"/>
      <c r="AS96" s="111"/>
      <c r="AT96" s="109"/>
      <c r="AU96" s="109">
        <v>108</v>
      </c>
      <c r="AV96" s="109">
        <f t="shared" si="36"/>
        <v>59</v>
      </c>
      <c r="AW96" s="111">
        <v>14</v>
      </c>
      <c r="AX96" s="111">
        <v>45</v>
      </c>
      <c r="AY96" s="110">
        <v>3</v>
      </c>
      <c r="AZ96" s="112">
        <v>108</v>
      </c>
      <c r="BA96" s="109">
        <f t="shared" si="37"/>
        <v>52</v>
      </c>
      <c r="BB96" s="111">
        <v>10</v>
      </c>
      <c r="BC96" s="111">
        <v>42</v>
      </c>
      <c r="BD96" s="109">
        <v>3</v>
      </c>
      <c r="BE96" s="109">
        <v>136</v>
      </c>
      <c r="BF96" s="109">
        <f t="shared" si="38"/>
        <v>76</v>
      </c>
      <c r="BG96" s="111">
        <v>16</v>
      </c>
      <c r="BH96" s="111">
        <v>60</v>
      </c>
      <c r="BI96" s="110">
        <v>3</v>
      </c>
      <c r="BJ96" s="112"/>
      <c r="BK96" s="109">
        <f t="shared" si="39"/>
        <v>0</v>
      </c>
      <c r="BL96" s="111"/>
      <c r="BM96" s="111"/>
      <c r="BN96" s="109"/>
      <c r="BO96" s="109"/>
      <c r="BP96" s="109">
        <f t="shared" si="40"/>
        <v>0</v>
      </c>
      <c r="BQ96" s="111"/>
      <c r="BR96" s="111"/>
      <c r="BS96" s="110"/>
      <c r="BT96" s="167">
        <f t="shared" si="41"/>
        <v>9</v>
      </c>
      <c r="BU96" s="253" t="s">
        <v>428</v>
      </c>
      <c r="BV96" s="66"/>
      <c r="BW96" s="66"/>
      <c r="BX96" s="85"/>
      <c r="BY96" s="85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</row>
    <row r="97" spans="2:131" ht="20.25" outlineLevel="1">
      <c r="B97" s="170" t="s">
        <v>487</v>
      </c>
      <c r="C97" s="153" t="s">
        <v>93</v>
      </c>
      <c r="D97" s="104"/>
      <c r="E97" s="105">
        <v>11</v>
      </c>
      <c r="F97" s="107">
        <f t="shared" si="44"/>
        <v>108</v>
      </c>
      <c r="G97" s="108">
        <f t="shared" si="45"/>
        <v>70</v>
      </c>
      <c r="H97" s="107">
        <f t="shared" si="46"/>
        <v>10</v>
      </c>
      <c r="I97" s="109"/>
      <c r="J97" s="109">
        <f t="shared" si="47"/>
        <v>60</v>
      </c>
      <c r="K97" s="110"/>
      <c r="L97" s="107"/>
      <c r="M97" s="109">
        <f aca="true" t="shared" si="48" ref="M97:M110">SUM(N97:O97)</f>
        <v>0</v>
      </c>
      <c r="N97" s="111"/>
      <c r="O97" s="111"/>
      <c r="P97" s="109"/>
      <c r="Q97" s="109"/>
      <c r="R97" s="109">
        <f aca="true" t="shared" si="49" ref="R97:R110">SUM(S97:T97)</f>
        <v>0</v>
      </c>
      <c r="S97" s="111"/>
      <c r="T97" s="111"/>
      <c r="U97" s="110"/>
      <c r="V97" s="112"/>
      <c r="W97" s="109">
        <f t="shared" si="43"/>
        <v>0</v>
      </c>
      <c r="X97" s="111"/>
      <c r="Y97" s="111"/>
      <c r="Z97" s="109"/>
      <c r="AA97" s="109"/>
      <c r="AB97" s="109">
        <f t="shared" si="42"/>
        <v>0</v>
      </c>
      <c r="AC97" s="111"/>
      <c r="AD97" s="111"/>
      <c r="AE97" s="110"/>
      <c r="AF97" s="112"/>
      <c r="AG97" s="109">
        <f t="shared" si="29"/>
        <v>0</v>
      </c>
      <c r="AH97" s="111"/>
      <c r="AI97" s="111"/>
      <c r="AJ97" s="109"/>
      <c r="AK97" s="109"/>
      <c r="AL97" s="109">
        <f t="shared" si="30"/>
        <v>0</v>
      </c>
      <c r="AM97" s="111"/>
      <c r="AN97" s="111"/>
      <c r="AO97" s="110"/>
      <c r="AP97" s="112"/>
      <c r="AQ97" s="109">
        <f t="shared" si="35"/>
        <v>0</v>
      </c>
      <c r="AR97" s="111"/>
      <c r="AS97" s="111"/>
      <c r="AT97" s="109"/>
      <c r="AU97" s="109"/>
      <c r="AV97" s="109">
        <f t="shared" si="36"/>
        <v>0</v>
      </c>
      <c r="AW97" s="111"/>
      <c r="AX97" s="111"/>
      <c r="AY97" s="110"/>
      <c r="AZ97" s="112"/>
      <c r="BA97" s="109">
        <f t="shared" si="37"/>
        <v>0</v>
      </c>
      <c r="BB97" s="111"/>
      <c r="BC97" s="111"/>
      <c r="BD97" s="109"/>
      <c r="BE97" s="109"/>
      <c r="BF97" s="109">
        <f t="shared" si="38"/>
        <v>0</v>
      </c>
      <c r="BG97" s="111"/>
      <c r="BH97" s="111"/>
      <c r="BI97" s="110"/>
      <c r="BJ97" s="112">
        <v>108</v>
      </c>
      <c r="BK97" s="109">
        <f t="shared" si="39"/>
        <v>70</v>
      </c>
      <c r="BL97" s="111">
        <v>10</v>
      </c>
      <c r="BM97" s="111">
        <v>60</v>
      </c>
      <c r="BN97" s="109">
        <v>3</v>
      </c>
      <c r="BO97" s="109"/>
      <c r="BP97" s="109">
        <f t="shared" si="40"/>
        <v>0</v>
      </c>
      <c r="BQ97" s="111"/>
      <c r="BR97" s="111"/>
      <c r="BS97" s="110"/>
      <c r="BT97" s="167">
        <f t="shared" si="41"/>
        <v>3</v>
      </c>
      <c r="BU97" s="253" t="s">
        <v>430</v>
      </c>
      <c r="BV97" s="66"/>
      <c r="BW97" s="66"/>
      <c r="BX97" s="85"/>
      <c r="BY97" s="85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</row>
    <row r="98" spans="2:131" ht="49.5" customHeight="1" outlineLevel="1">
      <c r="B98" s="163" t="s">
        <v>285</v>
      </c>
      <c r="C98" s="200" t="s">
        <v>221</v>
      </c>
      <c r="D98" s="201"/>
      <c r="E98" s="190"/>
      <c r="F98" s="115"/>
      <c r="G98" s="202"/>
      <c r="H98" s="203"/>
      <c r="I98" s="232"/>
      <c r="J98" s="193"/>
      <c r="K98" s="205"/>
      <c r="L98" s="203"/>
      <c r="M98" s="117"/>
      <c r="N98" s="206"/>
      <c r="O98" s="206"/>
      <c r="P98" s="256"/>
      <c r="Q98" s="204"/>
      <c r="R98" s="117"/>
      <c r="S98" s="206"/>
      <c r="T98" s="206"/>
      <c r="U98" s="118"/>
      <c r="V98" s="204"/>
      <c r="W98" s="117"/>
      <c r="X98" s="206"/>
      <c r="Y98" s="206"/>
      <c r="Z98" s="117"/>
      <c r="AA98" s="193"/>
      <c r="AB98" s="117"/>
      <c r="AC98" s="206"/>
      <c r="AD98" s="206"/>
      <c r="AE98" s="118"/>
      <c r="AF98" s="204"/>
      <c r="AG98" s="117"/>
      <c r="AH98" s="206"/>
      <c r="AI98" s="206"/>
      <c r="AJ98" s="117"/>
      <c r="AK98" s="193"/>
      <c r="AL98" s="117"/>
      <c r="AM98" s="206"/>
      <c r="AN98" s="206"/>
      <c r="AO98" s="118"/>
      <c r="AP98" s="204"/>
      <c r="AQ98" s="117"/>
      <c r="AR98" s="206"/>
      <c r="AS98" s="206"/>
      <c r="AT98" s="117"/>
      <c r="AU98" s="117"/>
      <c r="AV98" s="117"/>
      <c r="AW98" s="206"/>
      <c r="AX98" s="206"/>
      <c r="AY98" s="118"/>
      <c r="AZ98" s="204"/>
      <c r="BA98" s="117"/>
      <c r="BB98" s="206"/>
      <c r="BC98" s="206"/>
      <c r="BD98" s="117"/>
      <c r="BE98" s="117"/>
      <c r="BF98" s="117"/>
      <c r="BG98" s="206"/>
      <c r="BH98" s="206"/>
      <c r="BI98" s="118"/>
      <c r="BJ98" s="204"/>
      <c r="BK98" s="117"/>
      <c r="BL98" s="206"/>
      <c r="BM98" s="206"/>
      <c r="BN98" s="117"/>
      <c r="BO98" s="204"/>
      <c r="BP98" s="117"/>
      <c r="BQ98" s="206"/>
      <c r="BR98" s="206"/>
      <c r="BS98" s="118"/>
      <c r="BT98" s="121"/>
      <c r="BU98" s="187"/>
      <c r="BV98" s="66"/>
      <c r="BW98" s="66"/>
      <c r="BX98" s="85"/>
      <c r="BY98" s="85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</row>
    <row r="99" spans="2:131" ht="20.25" outlineLevel="1">
      <c r="B99" s="166" t="s">
        <v>286</v>
      </c>
      <c r="C99" s="196" t="s">
        <v>222</v>
      </c>
      <c r="D99" s="171">
        <v>8</v>
      </c>
      <c r="E99" s="195"/>
      <c r="F99" s="107">
        <f t="shared" si="44"/>
        <v>108</v>
      </c>
      <c r="G99" s="196">
        <f t="shared" si="45"/>
        <v>72</v>
      </c>
      <c r="H99" s="172">
        <f t="shared" si="46"/>
        <v>12</v>
      </c>
      <c r="I99" s="173"/>
      <c r="J99" s="174">
        <f t="shared" si="47"/>
        <v>60</v>
      </c>
      <c r="K99" s="175"/>
      <c r="L99" s="172"/>
      <c r="M99" s="109">
        <f t="shared" si="48"/>
        <v>0</v>
      </c>
      <c r="N99" s="176"/>
      <c r="O99" s="176"/>
      <c r="P99" s="161"/>
      <c r="Q99" s="177"/>
      <c r="R99" s="109">
        <f t="shared" si="49"/>
        <v>0</v>
      </c>
      <c r="S99" s="176"/>
      <c r="T99" s="176"/>
      <c r="U99" s="110"/>
      <c r="V99" s="177"/>
      <c r="W99" s="109">
        <f t="shared" si="43"/>
        <v>0</v>
      </c>
      <c r="X99" s="176"/>
      <c r="Y99" s="176"/>
      <c r="Z99" s="109"/>
      <c r="AA99" s="174"/>
      <c r="AB99" s="109">
        <f t="shared" si="42"/>
        <v>0</v>
      </c>
      <c r="AC99" s="176"/>
      <c r="AD99" s="176"/>
      <c r="AE99" s="110"/>
      <c r="AF99" s="177"/>
      <c r="AG99" s="109">
        <f t="shared" si="29"/>
        <v>0</v>
      </c>
      <c r="AH99" s="176"/>
      <c r="AI99" s="176"/>
      <c r="AJ99" s="109"/>
      <c r="AK99" s="174"/>
      <c r="AL99" s="109">
        <f t="shared" si="30"/>
        <v>0</v>
      </c>
      <c r="AM99" s="176"/>
      <c r="AN99" s="176"/>
      <c r="AO99" s="110"/>
      <c r="AP99" s="112">
        <v>54</v>
      </c>
      <c r="AQ99" s="109">
        <f t="shared" si="35"/>
        <v>36</v>
      </c>
      <c r="AR99" s="111">
        <v>6</v>
      </c>
      <c r="AS99" s="111">
        <v>30</v>
      </c>
      <c r="AT99" s="109"/>
      <c r="AU99" s="109">
        <v>54</v>
      </c>
      <c r="AV99" s="109">
        <f t="shared" si="36"/>
        <v>36</v>
      </c>
      <c r="AW99" s="111">
        <v>6</v>
      </c>
      <c r="AX99" s="111">
        <v>30</v>
      </c>
      <c r="AY99" s="110">
        <v>3</v>
      </c>
      <c r="AZ99" s="177"/>
      <c r="BA99" s="109">
        <f t="shared" si="37"/>
        <v>0</v>
      </c>
      <c r="BB99" s="176"/>
      <c r="BC99" s="176"/>
      <c r="BD99" s="109"/>
      <c r="BE99" s="174"/>
      <c r="BF99" s="109">
        <f t="shared" si="38"/>
        <v>0</v>
      </c>
      <c r="BG99" s="176"/>
      <c r="BH99" s="176"/>
      <c r="BI99" s="110"/>
      <c r="BJ99" s="177"/>
      <c r="BK99" s="109">
        <f t="shared" si="39"/>
        <v>0</v>
      </c>
      <c r="BL99" s="176"/>
      <c r="BM99" s="176"/>
      <c r="BN99" s="109"/>
      <c r="BO99" s="177"/>
      <c r="BP99" s="109">
        <f t="shared" si="40"/>
        <v>0</v>
      </c>
      <c r="BQ99" s="176"/>
      <c r="BR99" s="176"/>
      <c r="BS99" s="110"/>
      <c r="BT99" s="167">
        <f t="shared" si="41"/>
        <v>3</v>
      </c>
      <c r="BU99" s="156" t="s">
        <v>431</v>
      </c>
      <c r="BV99" s="66"/>
      <c r="BW99" s="66"/>
      <c r="BX99" s="85"/>
      <c r="BY99" s="85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</row>
    <row r="100" spans="2:131" ht="49.5" customHeight="1" outlineLevel="1">
      <c r="B100" s="170" t="s">
        <v>287</v>
      </c>
      <c r="C100" s="153" t="s">
        <v>80</v>
      </c>
      <c r="D100" s="104">
        <v>10</v>
      </c>
      <c r="E100" s="105">
        <v>12</v>
      </c>
      <c r="F100" s="107">
        <f t="shared" si="44"/>
        <v>285</v>
      </c>
      <c r="G100" s="196">
        <f t="shared" si="45"/>
        <v>186</v>
      </c>
      <c r="H100" s="172">
        <f t="shared" si="46"/>
        <v>12</v>
      </c>
      <c r="I100" s="173"/>
      <c r="J100" s="174">
        <f t="shared" si="47"/>
        <v>174</v>
      </c>
      <c r="K100" s="175"/>
      <c r="L100" s="107"/>
      <c r="M100" s="109">
        <f t="shared" si="48"/>
        <v>0</v>
      </c>
      <c r="N100" s="111"/>
      <c r="O100" s="111"/>
      <c r="P100" s="109"/>
      <c r="Q100" s="109"/>
      <c r="R100" s="109">
        <f t="shared" si="49"/>
        <v>0</v>
      </c>
      <c r="S100" s="111"/>
      <c r="T100" s="111"/>
      <c r="U100" s="110"/>
      <c r="V100" s="112"/>
      <c r="W100" s="109">
        <f t="shared" si="43"/>
        <v>0</v>
      </c>
      <c r="X100" s="111"/>
      <c r="Y100" s="111"/>
      <c r="Z100" s="109"/>
      <c r="AA100" s="109"/>
      <c r="AB100" s="109">
        <f t="shared" si="42"/>
        <v>0</v>
      </c>
      <c r="AC100" s="111"/>
      <c r="AD100" s="111"/>
      <c r="AE100" s="110"/>
      <c r="AF100" s="112"/>
      <c r="AG100" s="109">
        <f t="shared" si="29"/>
        <v>0</v>
      </c>
      <c r="AH100" s="111"/>
      <c r="AI100" s="111"/>
      <c r="AJ100" s="109"/>
      <c r="AK100" s="109"/>
      <c r="AL100" s="109">
        <f t="shared" si="30"/>
        <v>0</v>
      </c>
      <c r="AM100" s="111"/>
      <c r="AN100" s="111"/>
      <c r="AO100" s="110"/>
      <c r="AP100" s="237"/>
      <c r="AQ100" s="109">
        <f t="shared" si="35"/>
        <v>0</v>
      </c>
      <c r="AR100" s="238"/>
      <c r="AS100" s="238"/>
      <c r="AT100" s="239"/>
      <c r="AU100" s="112"/>
      <c r="AV100" s="109">
        <f t="shared" si="36"/>
        <v>0</v>
      </c>
      <c r="AW100" s="111"/>
      <c r="AX100" s="111"/>
      <c r="AY100" s="110"/>
      <c r="AZ100" s="112"/>
      <c r="BA100" s="109">
        <f t="shared" si="37"/>
        <v>0</v>
      </c>
      <c r="BB100" s="111"/>
      <c r="BC100" s="111"/>
      <c r="BD100" s="109"/>
      <c r="BE100" s="112">
        <v>150</v>
      </c>
      <c r="BF100" s="109">
        <f t="shared" si="38"/>
        <v>98</v>
      </c>
      <c r="BG100" s="111">
        <v>8</v>
      </c>
      <c r="BH100" s="111">
        <v>90</v>
      </c>
      <c r="BI100" s="110">
        <v>4</v>
      </c>
      <c r="BJ100" s="112">
        <v>60</v>
      </c>
      <c r="BK100" s="109">
        <f t="shared" si="39"/>
        <v>40</v>
      </c>
      <c r="BL100" s="111">
        <v>4</v>
      </c>
      <c r="BM100" s="111">
        <v>36</v>
      </c>
      <c r="BN100" s="109"/>
      <c r="BO100" s="112">
        <v>75</v>
      </c>
      <c r="BP100" s="109">
        <f t="shared" si="40"/>
        <v>48</v>
      </c>
      <c r="BQ100" s="111"/>
      <c r="BR100" s="111">
        <v>48</v>
      </c>
      <c r="BS100" s="110">
        <v>3</v>
      </c>
      <c r="BT100" s="167">
        <f t="shared" si="41"/>
        <v>7</v>
      </c>
      <c r="BU100" s="156" t="s">
        <v>432</v>
      </c>
      <c r="BV100" s="66"/>
      <c r="BW100" s="66"/>
      <c r="BX100" s="85"/>
      <c r="BY100" s="85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</row>
    <row r="101" spans="2:131" ht="39" outlineLevel="1">
      <c r="B101" s="188" t="s">
        <v>288</v>
      </c>
      <c r="C101" s="200" t="s">
        <v>194</v>
      </c>
      <c r="D101" s="113"/>
      <c r="E101" s="114"/>
      <c r="F101" s="115"/>
      <c r="G101" s="116"/>
      <c r="H101" s="115"/>
      <c r="I101" s="117"/>
      <c r="J101" s="117"/>
      <c r="K101" s="118"/>
      <c r="L101" s="115"/>
      <c r="M101" s="117"/>
      <c r="N101" s="119"/>
      <c r="O101" s="119"/>
      <c r="P101" s="117"/>
      <c r="Q101" s="117"/>
      <c r="R101" s="117"/>
      <c r="S101" s="119"/>
      <c r="T101" s="119"/>
      <c r="U101" s="118"/>
      <c r="V101" s="120"/>
      <c r="W101" s="117"/>
      <c r="X101" s="119"/>
      <c r="Y101" s="119"/>
      <c r="Z101" s="117"/>
      <c r="AA101" s="120"/>
      <c r="AB101" s="117"/>
      <c r="AC101" s="119"/>
      <c r="AD101" s="119"/>
      <c r="AE101" s="118"/>
      <c r="AF101" s="120"/>
      <c r="AG101" s="117"/>
      <c r="AH101" s="119"/>
      <c r="AI101" s="119"/>
      <c r="AJ101" s="117"/>
      <c r="AK101" s="117"/>
      <c r="AL101" s="117"/>
      <c r="AM101" s="119"/>
      <c r="AN101" s="119"/>
      <c r="AO101" s="118"/>
      <c r="AP101" s="120"/>
      <c r="AQ101" s="117"/>
      <c r="AR101" s="119"/>
      <c r="AS101" s="119"/>
      <c r="AT101" s="117"/>
      <c r="AU101" s="117"/>
      <c r="AV101" s="117"/>
      <c r="AW101" s="119"/>
      <c r="AX101" s="119"/>
      <c r="AY101" s="118"/>
      <c r="AZ101" s="120"/>
      <c r="BA101" s="117"/>
      <c r="BB101" s="119"/>
      <c r="BC101" s="119"/>
      <c r="BD101" s="117"/>
      <c r="BE101" s="117"/>
      <c r="BF101" s="117"/>
      <c r="BG101" s="119"/>
      <c r="BH101" s="119"/>
      <c r="BI101" s="118"/>
      <c r="BJ101" s="120"/>
      <c r="BK101" s="117"/>
      <c r="BL101" s="119"/>
      <c r="BM101" s="119"/>
      <c r="BN101" s="117"/>
      <c r="BO101" s="117"/>
      <c r="BP101" s="117"/>
      <c r="BQ101" s="119"/>
      <c r="BR101" s="119"/>
      <c r="BS101" s="118"/>
      <c r="BT101" s="121"/>
      <c r="BU101" s="151"/>
      <c r="BV101" s="69">
        <f>SUM(BT91:BT93)</f>
        <v>16</v>
      </c>
      <c r="BW101" s="66"/>
      <c r="BX101" s="85"/>
      <c r="BY101" s="85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</row>
    <row r="102" spans="2:131" ht="23.25" customHeight="1" outlineLevel="1">
      <c r="B102" s="170" t="s">
        <v>289</v>
      </c>
      <c r="C102" s="153" t="s">
        <v>82</v>
      </c>
      <c r="D102" s="104">
        <v>9</v>
      </c>
      <c r="E102" s="105">
        <v>8</v>
      </c>
      <c r="F102" s="107">
        <f aca="true" t="shared" si="50" ref="F102:F107">SUM(L102,Q102,V102,AA102,AF102,AK102,AP102,AU102,AZ102,BE102,BJ102,BO102)</f>
        <v>228</v>
      </c>
      <c r="G102" s="108">
        <f aca="true" t="shared" si="51" ref="G102:G107">SUM(H102:K102)</f>
        <v>142</v>
      </c>
      <c r="H102" s="107">
        <f aca="true" t="shared" si="52" ref="H102:H107">SUM(N102,S102,X102,AC102,AH102,AM102,AR102,AW102,BB102,BG102,BL102,BQ102)</f>
        <v>22</v>
      </c>
      <c r="I102" s="109"/>
      <c r="J102" s="109">
        <f>SUM(O102,T102,Y102,AD102,AI102,AN102,AS102,AX102,BC102,BH102,BM102,BR102)</f>
        <v>120</v>
      </c>
      <c r="K102" s="110"/>
      <c r="L102" s="107"/>
      <c r="M102" s="109">
        <f t="shared" si="48"/>
        <v>0</v>
      </c>
      <c r="N102" s="111"/>
      <c r="O102" s="111"/>
      <c r="P102" s="109"/>
      <c r="Q102" s="109"/>
      <c r="R102" s="109">
        <f t="shared" si="49"/>
        <v>0</v>
      </c>
      <c r="S102" s="111"/>
      <c r="T102" s="111"/>
      <c r="U102" s="110"/>
      <c r="V102" s="112"/>
      <c r="W102" s="109">
        <f t="shared" si="43"/>
        <v>0</v>
      </c>
      <c r="X102" s="111"/>
      <c r="Y102" s="111"/>
      <c r="Z102" s="109"/>
      <c r="AA102" s="109"/>
      <c r="AB102" s="109">
        <f t="shared" si="42"/>
        <v>0</v>
      </c>
      <c r="AC102" s="111"/>
      <c r="AD102" s="111"/>
      <c r="AE102" s="110"/>
      <c r="AF102" s="112"/>
      <c r="AG102" s="109">
        <f t="shared" si="29"/>
        <v>0</v>
      </c>
      <c r="AH102" s="111"/>
      <c r="AI102" s="111"/>
      <c r="AJ102" s="109"/>
      <c r="AK102" s="109"/>
      <c r="AL102" s="109">
        <f t="shared" si="30"/>
        <v>0</v>
      </c>
      <c r="AM102" s="111"/>
      <c r="AN102" s="111"/>
      <c r="AO102" s="110"/>
      <c r="AP102" s="112"/>
      <c r="AQ102" s="109">
        <f t="shared" si="35"/>
        <v>0</v>
      </c>
      <c r="AR102" s="111"/>
      <c r="AS102" s="111"/>
      <c r="AT102" s="109"/>
      <c r="AU102" s="109">
        <v>108</v>
      </c>
      <c r="AV102" s="109">
        <f t="shared" si="36"/>
        <v>68</v>
      </c>
      <c r="AW102" s="111">
        <v>8</v>
      </c>
      <c r="AX102" s="111">
        <v>60</v>
      </c>
      <c r="AY102" s="110">
        <v>3</v>
      </c>
      <c r="AZ102" s="112">
        <v>120</v>
      </c>
      <c r="BA102" s="109">
        <f t="shared" si="37"/>
        <v>74</v>
      </c>
      <c r="BB102" s="111">
        <v>14</v>
      </c>
      <c r="BC102" s="111">
        <v>60</v>
      </c>
      <c r="BD102" s="109">
        <v>3</v>
      </c>
      <c r="BE102" s="112"/>
      <c r="BF102" s="109">
        <f t="shared" si="38"/>
        <v>0</v>
      </c>
      <c r="BG102" s="111"/>
      <c r="BH102" s="111"/>
      <c r="BI102" s="110"/>
      <c r="BJ102" s="112"/>
      <c r="BK102" s="109">
        <f t="shared" si="39"/>
        <v>0</v>
      </c>
      <c r="BL102" s="111"/>
      <c r="BM102" s="111"/>
      <c r="BN102" s="109"/>
      <c r="BO102" s="109"/>
      <c r="BP102" s="109">
        <f t="shared" si="40"/>
        <v>0</v>
      </c>
      <c r="BQ102" s="111"/>
      <c r="BR102" s="111"/>
      <c r="BS102" s="110"/>
      <c r="BT102" s="167">
        <f t="shared" si="41"/>
        <v>6</v>
      </c>
      <c r="BU102" s="253" t="s">
        <v>433</v>
      </c>
      <c r="BV102" s="66"/>
      <c r="BW102" s="66"/>
      <c r="BX102" s="85">
        <f>BM91/7</f>
        <v>0</v>
      </c>
      <c r="BY102" s="85">
        <f>BR91/7</f>
        <v>0</v>
      </c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</row>
    <row r="103" spans="2:131" ht="39.75" customHeight="1" outlineLevel="1">
      <c r="B103" s="170" t="s">
        <v>290</v>
      </c>
      <c r="C103" s="153" t="s">
        <v>246</v>
      </c>
      <c r="D103" s="104"/>
      <c r="E103" s="105">
        <v>11</v>
      </c>
      <c r="F103" s="107">
        <f t="shared" si="50"/>
        <v>90</v>
      </c>
      <c r="G103" s="108">
        <f t="shared" si="51"/>
        <v>36</v>
      </c>
      <c r="H103" s="107">
        <f t="shared" si="52"/>
        <v>6</v>
      </c>
      <c r="I103" s="109"/>
      <c r="J103" s="109">
        <f>SUM(O103,T103,Y103,AD103,AI103,AN103,AS103,AX103,BC103,BH103,BM103,BR103)</f>
        <v>30</v>
      </c>
      <c r="K103" s="110"/>
      <c r="L103" s="107"/>
      <c r="M103" s="109">
        <f t="shared" si="48"/>
        <v>0</v>
      </c>
      <c r="N103" s="111"/>
      <c r="O103" s="111"/>
      <c r="P103" s="109"/>
      <c r="Q103" s="109"/>
      <c r="R103" s="109">
        <f t="shared" si="49"/>
        <v>0</v>
      </c>
      <c r="S103" s="111"/>
      <c r="T103" s="111"/>
      <c r="U103" s="110"/>
      <c r="V103" s="112"/>
      <c r="W103" s="109">
        <f t="shared" si="43"/>
        <v>0</v>
      </c>
      <c r="X103" s="111"/>
      <c r="Y103" s="111"/>
      <c r="Z103" s="109"/>
      <c r="AA103" s="109"/>
      <c r="AB103" s="109">
        <f t="shared" si="42"/>
        <v>0</v>
      </c>
      <c r="AC103" s="111"/>
      <c r="AD103" s="111"/>
      <c r="AE103" s="110"/>
      <c r="AF103" s="112"/>
      <c r="AG103" s="109">
        <f t="shared" si="29"/>
        <v>0</v>
      </c>
      <c r="AH103" s="111"/>
      <c r="AI103" s="111"/>
      <c r="AJ103" s="109"/>
      <c r="AK103" s="109"/>
      <c r="AL103" s="109">
        <f t="shared" si="30"/>
        <v>0</v>
      </c>
      <c r="AM103" s="111"/>
      <c r="AN103" s="111"/>
      <c r="AO103" s="110"/>
      <c r="AP103" s="112"/>
      <c r="AQ103" s="109">
        <f t="shared" si="35"/>
        <v>0</v>
      </c>
      <c r="AR103" s="111"/>
      <c r="AS103" s="111"/>
      <c r="AT103" s="109"/>
      <c r="AU103" s="109"/>
      <c r="AV103" s="109">
        <f t="shared" si="36"/>
        <v>0</v>
      </c>
      <c r="AW103" s="111"/>
      <c r="AX103" s="111"/>
      <c r="AY103" s="110"/>
      <c r="AZ103" s="112"/>
      <c r="BA103" s="109">
        <f t="shared" si="37"/>
        <v>0</v>
      </c>
      <c r="BB103" s="111"/>
      <c r="BC103" s="111"/>
      <c r="BD103" s="109"/>
      <c r="BE103" s="109"/>
      <c r="BF103" s="109">
        <f t="shared" si="38"/>
        <v>0</v>
      </c>
      <c r="BG103" s="111"/>
      <c r="BH103" s="111"/>
      <c r="BI103" s="110"/>
      <c r="BJ103" s="112">
        <v>90</v>
      </c>
      <c r="BK103" s="109">
        <f t="shared" si="39"/>
        <v>36</v>
      </c>
      <c r="BL103" s="111">
        <v>6</v>
      </c>
      <c r="BM103" s="111">
        <v>30</v>
      </c>
      <c r="BN103" s="109">
        <v>3</v>
      </c>
      <c r="BO103" s="109"/>
      <c r="BP103" s="109">
        <f t="shared" si="40"/>
        <v>0</v>
      </c>
      <c r="BQ103" s="111"/>
      <c r="BR103" s="111"/>
      <c r="BS103" s="110"/>
      <c r="BT103" s="167">
        <f t="shared" si="41"/>
        <v>3</v>
      </c>
      <c r="BU103" s="253" t="s">
        <v>434</v>
      </c>
      <c r="BV103" s="66"/>
      <c r="BW103" s="66"/>
      <c r="BX103" s="85">
        <f>BM93/7</f>
        <v>0</v>
      </c>
      <c r="BY103" s="85">
        <f>BR93/7</f>
        <v>3.5714285714285716</v>
      </c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</row>
    <row r="104" spans="2:131" s="68" customFormat="1" ht="20.25" outlineLevel="1">
      <c r="B104" s="170" t="s">
        <v>488</v>
      </c>
      <c r="C104" s="153" t="s">
        <v>94</v>
      </c>
      <c r="D104" s="104"/>
      <c r="E104" s="105">
        <v>9</v>
      </c>
      <c r="F104" s="107">
        <f t="shared" si="50"/>
        <v>90</v>
      </c>
      <c r="G104" s="108">
        <f t="shared" si="51"/>
        <v>36</v>
      </c>
      <c r="H104" s="107">
        <f t="shared" si="52"/>
        <v>6</v>
      </c>
      <c r="I104" s="109"/>
      <c r="J104" s="109">
        <f>SUM(O104,T104,Y104,AD104,AI104,AN104,AS104,AX104,BC104,BH104,BM104,BR104)</f>
        <v>30</v>
      </c>
      <c r="K104" s="110"/>
      <c r="L104" s="107"/>
      <c r="M104" s="109">
        <f t="shared" si="48"/>
        <v>0</v>
      </c>
      <c r="N104" s="111"/>
      <c r="O104" s="111"/>
      <c r="P104" s="109"/>
      <c r="Q104" s="109"/>
      <c r="R104" s="109">
        <f t="shared" si="49"/>
        <v>0</v>
      </c>
      <c r="S104" s="111"/>
      <c r="T104" s="111"/>
      <c r="U104" s="110"/>
      <c r="V104" s="112"/>
      <c r="W104" s="109">
        <f t="shared" si="43"/>
        <v>0</v>
      </c>
      <c r="X104" s="111"/>
      <c r="Y104" s="111"/>
      <c r="Z104" s="109"/>
      <c r="AA104" s="109"/>
      <c r="AB104" s="109">
        <f t="shared" si="42"/>
        <v>0</v>
      </c>
      <c r="AC104" s="111"/>
      <c r="AD104" s="111"/>
      <c r="AE104" s="110"/>
      <c r="AF104" s="112"/>
      <c r="AG104" s="109">
        <f t="shared" si="29"/>
        <v>0</v>
      </c>
      <c r="AH104" s="111"/>
      <c r="AI104" s="111"/>
      <c r="AJ104" s="109"/>
      <c r="AK104" s="109"/>
      <c r="AL104" s="109">
        <f t="shared" si="30"/>
        <v>0</v>
      </c>
      <c r="AM104" s="111"/>
      <c r="AN104" s="111"/>
      <c r="AO104" s="110"/>
      <c r="AP104" s="112"/>
      <c r="AQ104" s="109">
        <f t="shared" si="35"/>
        <v>0</v>
      </c>
      <c r="AR104" s="111"/>
      <c r="AS104" s="111"/>
      <c r="AT104" s="109"/>
      <c r="AU104" s="109"/>
      <c r="AV104" s="109">
        <f t="shared" si="36"/>
        <v>0</v>
      </c>
      <c r="AW104" s="111"/>
      <c r="AX104" s="111"/>
      <c r="AY104" s="110"/>
      <c r="AZ104" s="109">
        <v>90</v>
      </c>
      <c r="BA104" s="109">
        <f t="shared" si="37"/>
        <v>36</v>
      </c>
      <c r="BB104" s="111">
        <v>6</v>
      </c>
      <c r="BC104" s="111">
        <v>30</v>
      </c>
      <c r="BD104" s="109">
        <v>3</v>
      </c>
      <c r="BE104" s="112"/>
      <c r="BF104" s="109">
        <f t="shared" si="38"/>
        <v>0</v>
      </c>
      <c r="BG104" s="111"/>
      <c r="BH104" s="111"/>
      <c r="BI104" s="110"/>
      <c r="BJ104" s="112"/>
      <c r="BK104" s="109">
        <f t="shared" si="39"/>
        <v>0</v>
      </c>
      <c r="BL104" s="111"/>
      <c r="BM104" s="111"/>
      <c r="BN104" s="109"/>
      <c r="BO104" s="109"/>
      <c r="BP104" s="109">
        <f t="shared" si="40"/>
        <v>0</v>
      </c>
      <c r="BQ104" s="111"/>
      <c r="BR104" s="111"/>
      <c r="BS104" s="110"/>
      <c r="BT104" s="167">
        <f t="shared" si="41"/>
        <v>3</v>
      </c>
      <c r="BU104" s="253" t="s">
        <v>435</v>
      </c>
      <c r="BV104" s="67"/>
      <c r="BW104" s="67"/>
      <c r="BX104" s="85">
        <f>BM92/7</f>
        <v>0</v>
      </c>
      <c r="BY104" s="85">
        <f>BR92/7</f>
        <v>0</v>
      </c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</row>
    <row r="105" spans="2:131" s="68" customFormat="1" ht="39" outlineLevel="1">
      <c r="B105" s="188" t="s">
        <v>291</v>
      </c>
      <c r="C105" s="200" t="s">
        <v>532</v>
      </c>
      <c r="D105" s="201"/>
      <c r="E105" s="190"/>
      <c r="F105" s="115"/>
      <c r="G105" s="202"/>
      <c r="H105" s="203"/>
      <c r="I105" s="193"/>
      <c r="J105" s="193"/>
      <c r="K105" s="205"/>
      <c r="L105" s="115"/>
      <c r="M105" s="117"/>
      <c r="N105" s="206"/>
      <c r="O105" s="206"/>
      <c r="P105" s="117"/>
      <c r="Q105" s="120"/>
      <c r="R105" s="117"/>
      <c r="S105" s="206"/>
      <c r="T105" s="206"/>
      <c r="U105" s="118"/>
      <c r="V105" s="120"/>
      <c r="W105" s="117"/>
      <c r="X105" s="206"/>
      <c r="Y105" s="206"/>
      <c r="Z105" s="117"/>
      <c r="AA105" s="193"/>
      <c r="AB105" s="117"/>
      <c r="AC105" s="206"/>
      <c r="AD105" s="206"/>
      <c r="AE105" s="118"/>
      <c r="AF105" s="204"/>
      <c r="AG105" s="117"/>
      <c r="AH105" s="206"/>
      <c r="AI105" s="206"/>
      <c r="AJ105" s="117"/>
      <c r="AK105" s="193"/>
      <c r="AL105" s="117"/>
      <c r="AM105" s="206"/>
      <c r="AN105" s="206"/>
      <c r="AO105" s="118"/>
      <c r="AP105" s="204"/>
      <c r="AQ105" s="117"/>
      <c r="AR105" s="206"/>
      <c r="AS105" s="257"/>
      <c r="AT105" s="183"/>
      <c r="AU105" s="193"/>
      <c r="AV105" s="117"/>
      <c r="AW105" s="206"/>
      <c r="AX105" s="206"/>
      <c r="AY105" s="118"/>
      <c r="AZ105" s="204"/>
      <c r="BA105" s="117"/>
      <c r="BB105" s="206"/>
      <c r="BC105" s="206"/>
      <c r="BD105" s="117"/>
      <c r="BE105" s="117"/>
      <c r="BF105" s="117"/>
      <c r="BG105" s="206"/>
      <c r="BH105" s="206"/>
      <c r="BI105" s="118"/>
      <c r="BJ105" s="204"/>
      <c r="BK105" s="117"/>
      <c r="BL105" s="206"/>
      <c r="BM105" s="206"/>
      <c r="BN105" s="117"/>
      <c r="BO105" s="193"/>
      <c r="BP105" s="117"/>
      <c r="BQ105" s="206"/>
      <c r="BR105" s="206"/>
      <c r="BS105" s="118"/>
      <c r="BT105" s="121"/>
      <c r="BU105" s="151"/>
      <c r="BV105" s="67"/>
      <c r="BW105" s="67"/>
      <c r="BX105" s="85"/>
      <c r="BY105" s="85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</row>
    <row r="106" spans="2:131" s="68" customFormat="1" ht="20.25" outlineLevel="1">
      <c r="B106" s="166" t="s">
        <v>292</v>
      </c>
      <c r="C106" s="153" t="s">
        <v>331</v>
      </c>
      <c r="D106" s="171"/>
      <c r="E106" s="195">
        <v>8</v>
      </c>
      <c r="F106" s="107">
        <f t="shared" si="50"/>
        <v>108</v>
      </c>
      <c r="G106" s="108">
        <f t="shared" si="51"/>
        <v>44</v>
      </c>
      <c r="H106" s="107">
        <f t="shared" si="52"/>
        <v>8</v>
      </c>
      <c r="I106" s="109"/>
      <c r="J106" s="109">
        <f>SUM(O106,T106,Y106,AD106,AI106,AN106,AS106,AX106,BC106,BH106,BM106,BR106)</f>
        <v>36</v>
      </c>
      <c r="K106" s="175"/>
      <c r="L106" s="172"/>
      <c r="M106" s="109">
        <f t="shared" si="48"/>
        <v>0</v>
      </c>
      <c r="N106" s="176"/>
      <c r="O106" s="176"/>
      <c r="P106" s="161"/>
      <c r="Q106" s="177"/>
      <c r="R106" s="109">
        <f t="shared" si="49"/>
        <v>0</v>
      </c>
      <c r="S106" s="176"/>
      <c r="T106" s="176"/>
      <c r="U106" s="110"/>
      <c r="V106" s="177"/>
      <c r="W106" s="109">
        <f t="shared" si="43"/>
        <v>0</v>
      </c>
      <c r="X106" s="176"/>
      <c r="Y106" s="176"/>
      <c r="Z106" s="109"/>
      <c r="AA106" s="174"/>
      <c r="AB106" s="109">
        <f t="shared" si="42"/>
        <v>0</v>
      </c>
      <c r="AC106" s="176"/>
      <c r="AD106" s="176"/>
      <c r="AE106" s="110"/>
      <c r="AF106" s="177"/>
      <c r="AG106" s="109">
        <f t="shared" si="29"/>
        <v>0</v>
      </c>
      <c r="AH106" s="176"/>
      <c r="AI106" s="176"/>
      <c r="AJ106" s="109"/>
      <c r="AK106" s="174"/>
      <c r="AL106" s="109">
        <f t="shared" si="30"/>
        <v>0</v>
      </c>
      <c r="AM106" s="176"/>
      <c r="AN106" s="176"/>
      <c r="AO106" s="110"/>
      <c r="AP106" s="177"/>
      <c r="AQ106" s="109">
        <f t="shared" si="35"/>
        <v>0</v>
      </c>
      <c r="AR106" s="176"/>
      <c r="AS106" s="258"/>
      <c r="AT106" s="109"/>
      <c r="AU106" s="109">
        <v>108</v>
      </c>
      <c r="AV106" s="109">
        <f t="shared" si="36"/>
        <v>44</v>
      </c>
      <c r="AW106" s="176">
        <v>8</v>
      </c>
      <c r="AX106" s="176">
        <v>36</v>
      </c>
      <c r="AY106" s="110">
        <v>3</v>
      </c>
      <c r="AZ106" s="177"/>
      <c r="BA106" s="109">
        <f t="shared" si="37"/>
        <v>0</v>
      </c>
      <c r="BB106" s="176"/>
      <c r="BC106" s="176"/>
      <c r="BD106" s="109"/>
      <c r="BE106" s="174"/>
      <c r="BF106" s="109">
        <f t="shared" si="38"/>
        <v>0</v>
      </c>
      <c r="BG106" s="176"/>
      <c r="BH106" s="176"/>
      <c r="BI106" s="110"/>
      <c r="BJ106" s="177"/>
      <c r="BK106" s="109">
        <f t="shared" si="39"/>
        <v>0</v>
      </c>
      <c r="BL106" s="176"/>
      <c r="BM106" s="176"/>
      <c r="BN106" s="109"/>
      <c r="BO106" s="174"/>
      <c r="BP106" s="109">
        <f t="shared" si="40"/>
        <v>0</v>
      </c>
      <c r="BQ106" s="176"/>
      <c r="BR106" s="176"/>
      <c r="BS106" s="110"/>
      <c r="BT106" s="167">
        <f t="shared" si="41"/>
        <v>3</v>
      </c>
      <c r="BU106" s="253" t="s">
        <v>436</v>
      </c>
      <c r="BV106" s="67"/>
      <c r="BW106" s="67"/>
      <c r="BX106" s="85"/>
      <c r="BY106" s="85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</row>
    <row r="107" spans="2:131" s="68" customFormat="1" ht="71.25" customHeight="1" outlineLevel="1">
      <c r="B107" s="166" t="s">
        <v>293</v>
      </c>
      <c r="C107" s="153" t="s">
        <v>332</v>
      </c>
      <c r="D107" s="171">
        <v>10</v>
      </c>
      <c r="E107" s="195">
        <v>9</v>
      </c>
      <c r="F107" s="107">
        <f t="shared" si="50"/>
        <v>266</v>
      </c>
      <c r="G107" s="108">
        <f t="shared" si="51"/>
        <v>138</v>
      </c>
      <c r="H107" s="107">
        <f t="shared" si="52"/>
        <v>24</v>
      </c>
      <c r="I107" s="109"/>
      <c r="J107" s="109">
        <f>SUM(O107,T107,Y107,AD107,AI107,AN107,AS107,AX107,BC107,BH107,BM107,BR107)</f>
        <v>114</v>
      </c>
      <c r="K107" s="110"/>
      <c r="L107" s="172"/>
      <c r="M107" s="109">
        <f t="shared" si="48"/>
        <v>0</v>
      </c>
      <c r="N107" s="176"/>
      <c r="O107" s="176"/>
      <c r="P107" s="161"/>
      <c r="Q107" s="177"/>
      <c r="R107" s="109">
        <f t="shared" si="49"/>
        <v>0</v>
      </c>
      <c r="S107" s="176"/>
      <c r="T107" s="176"/>
      <c r="U107" s="110"/>
      <c r="V107" s="177"/>
      <c r="W107" s="109">
        <f t="shared" si="43"/>
        <v>0</v>
      </c>
      <c r="X107" s="176"/>
      <c r="Y107" s="176"/>
      <c r="Z107" s="109"/>
      <c r="AA107" s="174"/>
      <c r="AB107" s="109">
        <f t="shared" si="42"/>
        <v>0</v>
      </c>
      <c r="AC107" s="176"/>
      <c r="AD107" s="176"/>
      <c r="AE107" s="110"/>
      <c r="AF107" s="177"/>
      <c r="AG107" s="109">
        <f t="shared" si="29"/>
        <v>0</v>
      </c>
      <c r="AH107" s="176"/>
      <c r="AI107" s="258"/>
      <c r="AJ107" s="109"/>
      <c r="AK107" s="112"/>
      <c r="AL107" s="109">
        <f t="shared" si="30"/>
        <v>0</v>
      </c>
      <c r="AM107" s="176"/>
      <c r="AN107" s="176"/>
      <c r="AO107" s="110"/>
      <c r="AP107" s="112"/>
      <c r="AQ107" s="109">
        <f t="shared" si="35"/>
        <v>0</v>
      </c>
      <c r="AR107" s="176"/>
      <c r="AS107" s="258"/>
      <c r="AT107" s="109"/>
      <c r="AU107" s="109"/>
      <c r="AV107" s="109">
        <f t="shared" si="36"/>
        <v>0</v>
      </c>
      <c r="AW107" s="176"/>
      <c r="AX107" s="176"/>
      <c r="AY107" s="110"/>
      <c r="AZ107" s="177">
        <v>130</v>
      </c>
      <c r="BA107" s="109">
        <f t="shared" si="37"/>
        <v>80</v>
      </c>
      <c r="BB107" s="177">
        <v>14</v>
      </c>
      <c r="BC107" s="177">
        <v>66</v>
      </c>
      <c r="BD107" s="109">
        <v>3</v>
      </c>
      <c r="BE107" s="174">
        <v>136</v>
      </c>
      <c r="BF107" s="109">
        <f t="shared" si="38"/>
        <v>58</v>
      </c>
      <c r="BG107" s="176">
        <v>10</v>
      </c>
      <c r="BH107" s="176">
        <v>48</v>
      </c>
      <c r="BI107" s="110">
        <v>3</v>
      </c>
      <c r="BJ107" s="177"/>
      <c r="BK107" s="109">
        <f t="shared" si="39"/>
        <v>0</v>
      </c>
      <c r="BL107" s="176"/>
      <c r="BM107" s="176"/>
      <c r="BN107" s="109"/>
      <c r="BO107" s="174"/>
      <c r="BP107" s="109">
        <f t="shared" si="40"/>
        <v>0</v>
      </c>
      <c r="BQ107" s="176"/>
      <c r="BR107" s="176"/>
      <c r="BS107" s="110"/>
      <c r="BT107" s="167">
        <f t="shared" si="41"/>
        <v>6</v>
      </c>
      <c r="BU107" s="253" t="s">
        <v>437</v>
      </c>
      <c r="BV107" s="67"/>
      <c r="BW107" s="67"/>
      <c r="BX107" s="85"/>
      <c r="BY107" s="85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</row>
    <row r="108" spans="2:131" s="68" customFormat="1" ht="85.5" customHeight="1" outlineLevel="1">
      <c r="B108" s="188" t="s">
        <v>294</v>
      </c>
      <c r="C108" s="200" t="s">
        <v>533</v>
      </c>
      <c r="D108" s="113"/>
      <c r="E108" s="114"/>
      <c r="F108" s="115"/>
      <c r="G108" s="116"/>
      <c r="H108" s="115"/>
      <c r="I108" s="117"/>
      <c r="J108" s="117"/>
      <c r="K108" s="118"/>
      <c r="L108" s="115"/>
      <c r="M108" s="117"/>
      <c r="N108" s="119"/>
      <c r="O108" s="119"/>
      <c r="P108" s="117"/>
      <c r="Q108" s="117"/>
      <c r="R108" s="117"/>
      <c r="S108" s="119"/>
      <c r="T108" s="119"/>
      <c r="U108" s="118"/>
      <c r="V108" s="120"/>
      <c r="W108" s="117"/>
      <c r="X108" s="119"/>
      <c r="Y108" s="119"/>
      <c r="Z108" s="117"/>
      <c r="AA108" s="120"/>
      <c r="AB108" s="117"/>
      <c r="AC108" s="119"/>
      <c r="AD108" s="119"/>
      <c r="AE108" s="118"/>
      <c r="AF108" s="120"/>
      <c r="AG108" s="117"/>
      <c r="AH108" s="119"/>
      <c r="AI108" s="119"/>
      <c r="AJ108" s="117"/>
      <c r="AK108" s="117"/>
      <c r="AL108" s="117"/>
      <c r="AM108" s="119"/>
      <c r="AN108" s="119"/>
      <c r="AO108" s="118"/>
      <c r="AP108" s="120"/>
      <c r="AQ108" s="117"/>
      <c r="AR108" s="119"/>
      <c r="AS108" s="119"/>
      <c r="AT108" s="117"/>
      <c r="AU108" s="117"/>
      <c r="AV108" s="117"/>
      <c r="AW108" s="119"/>
      <c r="AX108" s="119"/>
      <c r="AY108" s="118"/>
      <c r="AZ108" s="120"/>
      <c r="BA108" s="117"/>
      <c r="BB108" s="119"/>
      <c r="BC108" s="119"/>
      <c r="BD108" s="117"/>
      <c r="BE108" s="117"/>
      <c r="BF108" s="117"/>
      <c r="BG108" s="119"/>
      <c r="BH108" s="119"/>
      <c r="BI108" s="118"/>
      <c r="BJ108" s="120"/>
      <c r="BK108" s="117"/>
      <c r="BL108" s="119"/>
      <c r="BM108" s="119"/>
      <c r="BN108" s="117"/>
      <c r="BO108" s="117"/>
      <c r="BP108" s="117"/>
      <c r="BQ108" s="119"/>
      <c r="BR108" s="119"/>
      <c r="BS108" s="118"/>
      <c r="BT108" s="121"/>
      <c r="BU108" s="259"/>
      <c r="BV108" s="67"/>
      <c r="BW108" s="67"/>
      <c r="BX108" s="85"/>
      <c r="BY108" s="85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</row>
    <row r="109" spans="2:131" s="68" customFormat="1" ht="71.25" customHeight="1" outlineLevel="1">
      <c r="B109" s="170" t="s">
        <v>295</v>
      </c>
      <c r="C109" s="153" t="s">
        <v>91</v>
      </c>
      <c r="D109" s="104">
        <v>9</v>
      </c>
      <c r="E109" s="105"/>
      <c r="F109" s="107">
        <f>SUM(L109,Q109,V109,AA109,AF109,AK109,AP109,AU109,AZ109,BE109,BJ109,BO109)</f>
        <v>130</v>
      </c>
      <c r="G109" s="108">
        <f>SUM(H109:K109)</f>
        <v>81</v>
      </c>
      <c r="H109" s="107">
        <f>SUM(N109,S109,X109,AC109,AH109,AM109,AR109,AW109,BB109,BG109,BL109,BQ109)</f>
        <v>20</v>
      </c>
      <c r="I109" s="109"/>
      <c r="J109" s="109">
        <f>SUM(O109,T109,Y109,AD109,AI109,AN109,AS109,AX109,BC109,BH109,BM109,BR109)</f>
        <v>61</v>
      </c>
      <c r="K109" s="110"/>
      <c r="L109" s="107"/>
      <c r="M109" s="109">
        <f t="shared" si="48"/>
        <v>0</v>
      </c>
      <c r="N109" s="111"/>
      <c r="O109" s="111"/>
      <c r="P109" s="109"/>
      <c r="Q109" s="109"/>
      <c r="R109" s="109">
        <f t="shared" si="49"/>
        <v>0</v>
      </c>
      <c r="S109" s="111"/>
      <c r="T109" s="111"/>
      <c r="U109" s="110"/>
      <c r="V109" s="112"/>
      <c r="W109" s="109">
        <f t="shared" si="43"/>
        <v>0</v>
      </c>
      <c r="X109" s="111"/>
      <c r="Y109" s="111"/>
      <c r="Z109" s="109"/>
      <c r="AA109" s="109"/>
      <c r="AB109" s="109">
        <f t="shared" si="42"/>
        <v>0</v>
      </c>
      <c r="AC109" s="111"/>
      <c r="AD109" s="111"/>
      <c r="AE109" s="110"/>
      <c r="AF109" s="112"/>
      <c r="AG109" s="109">
        <f>SUM(AH109:AI109)</f>
        <v>0</v>
      </c>
      <c r="AH109" s="111"/>
      <c r="AI109" s="111"/>
      <c r="AJ109" s="109"/>
      <c r="AK109" s="109"/>
      <c r="AL109" s="109">
        <f>SUM(AM109:AN109)</f>
        <v>0</v>
      </c>
      <c r="AM109" s="111"/>
      <c r="AN109" s="111"/>
      <c r="AO109" s="110"/>
      <c r="AP109" s="112"/>
      <c r="AQ109" s="109">
        <f t="shared" si="35"/>
        <v>0</v>
      </c>
      <c r="AR109" s="111"/>
      <c r="AS109" s="111"/>
      <c r="AT109" s="109"/>
      <c r="AU109" s="109">
        <v>80</v>
      </c>
      <c r="AV109" s="109">
        <f t="shared" si="36"/>
        <v>48</v>
      </c>
      <c r="AW109" s="111">
        <v>12</v>
      </c>
      <c r="AX109" s="111">
        <v>36</v>
      </c>
      <c r="AY109" s="110"/>
      <c r="AZ109" s="112">
        <v>50</v>
      </c>
      <c r="BA109" s="109">
        <f t="shared" si="37"/>
        <v>33</v>
      </c>
      <c r="BB109" s="111">
        <v>8</v>
      </c>
      <c r="BC109" s="111">
        <v>25</v>
      </c>
      <c r="BD109" s="109">
        <v>3</v>
      </c>
      <c r="BE109" s="109"/>
      <c r="BF109" s="109">
        <f t="shared" si="38"/>
        <v>0</v>
      </c>
      <c r="BG109" s="111"/>
      <c r="BH109" s="111"/>
      <c r="BI109" s="110"/>
      <c r="BJ109" s="112"/>
      <c r="BK109" s="109">
        <f t="shared" si="39"/>
        <v>0</v>
      </c>
      <c r="BL109" s="111"/>
      <c r="BM109" s="111"/>
      <c r="BN109" s="109"/>
      <c r="BO109" s="109"/>
      <c r="BP109" s="109">
        <f t="shared" si="40"/>
        <v>0</v>
      </c>
      <c r="BQ109" s="111"/>
      <c r="BR109" s="111"/>
      <c r="BS109" s="110"/>
      <c r="BT109" s="167">
        <f t="shared" si="41"/>
        <v>3</v>
      </c>
      <c r="BU109" s="253" t="s">
        <v>439</v>
      </c>
      <c r="BV109" s="67"/>
      <c r="BW109" s="67"/>
      <c r="BX109" s="85"/>
      <c r="BY109" s="85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</row>
    <row r="110" spans="2:131" s="68" customFormat="1" ht="71.25" customHeight="1" outlineLevel="1">
      <c r="B110" s="260" t="s">
        <v>296</v>
      </c>
      <c r="C110" s="157" t="s">
        <v>335</v>
      </c>
      <c r="D110" s="158"/>
      <c r="E110" s="261">
        <v>11</v>
      </c>
      <c r="F110" s="107">
        <f>SUM(L110,Q110,V110,AA110,AF110,AK110,AP110,AU110,AZ110,BE110,BJ110,BO110)</f>
        <v>90</v>
      </c>
      <c r="G110" s="108">
        <f>SUM(H110:K110)</f>
        <v>36</v>
      </c>
      <c r="H110" s="107"/>
      <c r="I110" s="109"/>
      <c r="J110" s="109">
        <f>SUM(O110,T110,Y110,AD110,AI110,AN110,AS110,AX110,BC110,BH110,BM110,BR110)</f>
        <v>36</v>
      </c>
      <c r="K110" s="110"/>
      <c r="L110" s="262"/>
      <c r="M110" s="109">
        <f t="shared" si="48"/>
        <v>0</v>
      </c>
      <c r="N110" s="263"/>
      <c r="O110" s="263"/>
      <c r="P110" s="161"/>
      <c r="Q110" s="161"/>
      <c r="R110" s="109">
        <f t="shared" si="49"/>
        <v>0</v>
      </c>
      <c r="S110" s="263"/>
      <c r="T110" s="263"/>
      <c r="U110" s="162"/>
      <c r="V110" s="264"/>
      <c r="W110" s="109">
        <f t="shared" si="43"/>
        <v>0</v>
      </c>
      <c r="X110" s="263"/>
      <c r="Y110" s="263"/>
      <c r="Z110" s="161"/>
      <c r="AA110" s="161"/>
      <c r="AB110" s="109">
        <f t="shared" si="42"/>
        <v>0</v>
      </c>
      <c r="AC110" s="263"/>
      <c r="AD110" s="263"/>
      <c r="AE110" s="162"/>
      <c r="AF110" s="264"/>
      <c r="AG110" s="109">
        <f>SUM(AH110:AI110)</f>
        <v>0</v>
      </c>
      <c r="AH110" s="263"/>
      <c r="AI110" s="263"/>
      <c r="AJ110" s="161"/>
      <c r="AK110" s="161"/>
      <c r="AL110" s="109">
        <f>SUM(AM110:AN110)</f>
        <v>0</v>
      </c>
      <c r="AM110" s="263"/>
      <c r="AN110" s="263"/>
      <c r="AO110" s="162"/>
      <c r="AP110" s="264"/>
      <c r="AQ110" s="109">
        <f t="shared" si="35"/>
        <v>0</v>
      </c>
      <c r="AR110" s="263"/>
      <c r="AS110" s="263"/>
      <c r="AT110" s="161"/>
      <c r="AU110" s="161"/>
      <c r="AV110" s="109">
        <f t="shared" si="36"/>
        <v>0</v>
      </c>
      <c r="AW110" s="263"/>
      <c r="AX110" s="263"/>
      <c r="AY110" s="162"/>
      <c r="AZ110" s="264"/>
      <c r="BA110" s="109">
        <f t="shared" si="37"/>
        <v>0</v>
      </c>
      <c r="BB110" s="263"/>
      <c r="BC110" s="263"/>
      <c r="BD110" s="161"/>
      <c r="BE110" s="161"/>
      <c r="BF110" s="109">
        <f t="shared" si="38"/>
        <v>0</v>
      </c>
      <c r="BG110" s="263"/>
      <c r="BH110" s="263"/>
      <c r="BI110" s="162"/>
      <c r="BJ110" s="264">
        <v>90</v>
      </c>
      <c r="BK110" s="109">
        <f t="shared" si="39"/>
        <v>36</v>
      </c>
      <c r="BL110" s="263"/>
      <c r="BM110" s="263">
        <v>36</v>
      </c>
      <c r="BN110" s="161">
        <v>3</v>
      </c>
      <c r="BO110" s="161"/>
      <c r="BP110" s="109">
        <f t="shared" si="40"/>
        <v>0</v>
      </c>
      <c r="BQ110" s="263"/>
      <c r="BR110" s="263"/>
      <c r="BS110" s="162"/>
      <c r="BT110" s="167">
        <f t="shared" si="41"/>
        <v>3</v>
      </c>
      <c r="BU110" s="253" t="s">
        <v>440</v>
      </c>
      <c r="BV110" s="67"/>
      <c r="BW110" s="67"/>
      <c r="BX110" s="85"/>
      <c r="BY110" s="85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</row>
    <row r="111" spans="2:131" s="68" customFormat="1" ht="42" customHeight="1" outlineLevel="1">
      <c r="B111" s="260" t="s">
        <v>377</v>
      </c>
      <c r="C111" s="157" t="s">
        <v>337</v>
      </c>
      <c r="D111" s="158"/>
      <c r="E111" s="261">
        <v>11</v>
      </c>
      <c r="F111" s="107">
        <f>SUM(L111,Q111,V111,AA111,AF111,AK111,AP111,AU111,AZ111,BE111,BJ111,BO111)</f>
        <v>90</v>
      </c>
      <c r="G111" s="108">
        <f>SUM(H111:K111)</f>
        <v>36</v>
      </c>
      <c r="H111" s="107"/>
      <c r="I111" s="109"/>
      <c r="J111" s="109">
        <f>SUM(O111,T111,Y111,AD111,AI111,AN111,AS111,AX111,BC111,BH111,BM111,BR111)</f>
        <v>36</v>
      </c>
      <c r="K111" s="110"/>
      <c r="L111" s="262"/>
      <c r="M111" s="109"/>
      <c r="N111" s="263"/>
      <c r="O111" s="263"/>
      <c r="P111" s="161"/>
      <c r="Q111" s="161"/>
      <c r="R111" s="109"/>
      <c r="S111" s="263"/>
      <c r="T111" s="263"/>
      <c r="U111" s="162"/>
      <c r="V111" s="264"/>
      <c r="W111" s="109"/>
      <c r="X111" s="263"/>
      <c r="Y111" s="263"/>
      <c r="Z111" s="161"/>
      <c r="AA111" s="161"/>
      <c r="AB111" s="109"/>
      <c r="AC111" s="263"/>
      <c r="AD111" s="263"/>
      <c r="AE111" s="162"/>
      <c r="AF111" s="264"/>
      <c r="AG111" s="109"/>
      <c r="AH111" s="263"/>
      <c r="AI111" s="263"/>
      <c r="AJ111" s="161"/>
      <c r="AK111" s="161"/>
      <c r="AL111" s="109"/>
      <c r="AM111" s="263"/>
      <c r="AN111" s="263"/>
      <c r="AO111" s="162"/>
      <c r="AP111" s="264"/>
      <c r="AQ111" s="109"/>
      <c r="AR111" s="263"/>
      <c r="AS111" s="263"/>
      <c r="AT111" s="161"/>
      <c r="AU111" s="161"/>
      <c r="AV111" s="109"/>
      <c r="AW111" s="263"/>
      <c r="AX111" s="263"/>
      <c r="AY111" s="162"/>
      <c r="AZ111" s="264"/>
      <c r="BA111" s="109"/>
      <c r="BB111" s="263"/>
      <c r="BC111" s="263"/>
      <c r="BD111" s="161"/>
      <c r="BE111" s="161"/>
      <c r="BF111" s="109"/>
      <c r="BG111" s="263"/>
      <c r="BH111" s="263"/>
      <c r="BI111" s="162"/>
      <c r="BJ111" s="264">
        <v>90</v>
      </c>
      <c r="BK111" s="109">
        <f>SUM(BL111:BM111)</f>
        <v>36</v>
      </c>
      <c r="BL111" s="263"/>
      <c r="BM111" s="263">
        <v>36</v>
      </c>
      <c r="BN111" s="161">
        <v>3</v>
      </c>
      <c r="BO111" s="161"/>
      <c r="BP111" s="109"/>
      <c r="BQ111" s="263"/>
      <c r="BR111" s="263"/>
      <c r="BS111" s="162"/>
      <c r="BT111" s="167">
        <f>SUM(P111,U111,Z111,AE111,AJ111,AO111,AT111,AY111,BD111,BI111,BN111,BS111)</f>
        <v>3</v>
      </c>
      <c r="BU111" s="156" t="s">
        <v>658</v>
      </c>
      <c r="BV111" s="67"/>
      <c r="BW111" s="67"/>
      <c r="BX111" s="85"/>
      <c r="BY111" s="85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</row>
    <row r="112" spans="2:131" s="68" customFormat="1" ht="58.5" outlineLevel="1">
      <c r="B112" s="188" t="s">
        <v>297</v>
      </c>
      <c r="C112" s="200" t="s">
        <v>240</v>
      </c>
      <c r="D112" s="113"/>
      <c r="E112" s="114"/>
      <c r="F112" s="115"/>
      <c r="G112" s="202"/>
      <c r="H112" s="203"/>
      <c r="I112" s="232"/>
      <c r="J112" s="193"/>
      <c r="K112" s="205"/>
      <c r="L112" s="115"/>
      <c r="M112" s="117"/>
      <c r="N112" s="119"/>
      <c r="O112" s="119"/>
      <c r="P112" s="117"/>
      <c r="Q112" s="120"/>
      <c r="R112" s="117"/>
      <c r="S112" s="119"/>
      <c r="T112" s="119"/>
      <c r="U112" s="118"/>
      <c r="V112" s="120"/>
      <c r="W112" s="117"/>
      <c r="X112" s="119"/>
      <c r="Y112" s="119"/>
      <c r="Z112" s="117"/>
      <c r="AA112" s="117"/>
      <c r="AB112" s="117"/>
      <c r="AC112" s="119"/>
      <c r="AD112" s="119"/>
      <c r="AE112" s="118"/>
      <c r="AF112" s="120"/>
      <c r="AG112" s="117"/>
      <c r="AH112" s="119"/>
      <c r="AI112" s="119"/>
      <c r="AJ112" s="117"/>
      <c r="AK112" s="193"/>
      <c r="AL112" s="117"/>
      <c r="AM112" s="206"/>
      <c r="AN112" s="206"/>
      <c r="AO112" s="118"/>
      <c r="AP112" s="233"/>
      <c r="AQ112" s="117"/>
      <c r="AR112" s="234"/>
      <c r="AS112" s="234"/>
      <c r="AT112" s="235"/>
      <c r="AU112" s="234"/>
      <c r="AV112" s="117"/>
      <c r="AW112" s="234"/>
      <c r="AX112" s="234"/>
      <c r="AY112" s="236"/>
      <c r="AZ112" s="120"/>
      <c r="BA112" s="117"/>
      <c r="BB112" s="119"/>
      <c r="BC112" s="119"/>
      <c r="BD112" s="117"/>
      <c r="BE112" s="117"/>
      <c r="BF112" s="117"/>
      <c r="BG112" s="119"/>
      <c r="BH112" s="119"/>
      <c r="BI112" s="118"/>
      <c r="BJ112" s="120"/>
      <c r="BK112" s="117"/>
      <c r="BL112" s="119"/>
      <c r="BM112" s="119"/>
      <c r="BN112" s="117"/>
      <c r="BO112" s="120"/>
      <c r="BP112" s="117"/>
      <c r="BQ112" s="119"/>
      <c r="BR112" s="119"/>
      <c r="BS112" s="118"/>
      <c r="BT112" s="121"/>
      <c r="BU112" s="151"/>
      <c r="BV112" s="67"/>
      <c r="BW112" s="67"/>
      <c r="BX112" s="85"/>
      <c r="BY112" s="85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</row>
    <row r="113" spans="2:131" s="68" customFormat="1" ht="48" customHeight="1" outlineLevel="1">
      <c r="B113" s="170" t="s">
        <v>298</v>
      </c>
      <c r="C113" s="153" t="s">
        <v>241</v>
      </c>
      <c r="D113" s="104">
        <v>11</v>
      </c>
      <c r="E113" s="105">
        <v>10</v>
      </c>
      <c r="F113" s="107">
        <f>SUM(L113,Q113,V113,AA113,AF113,AK113,AP113,AU113,AZ113,BE113,BJ113,BO113)</f>
        <v>394</v>
      </c>
      <c r="G113" s="196">
        <f>SUM(H113:K113)</f>
        <v>230</v>
      </c>
      <c r="H113" s="172">
        <f>SUM(N113,S113,X113,AC113,AH113,AM113,AR113,AW113,BB113,BG113,BL113,BQ113)</f>
        <v>44</v>
      </c>
      <c r="I113" s="173"/>
      <c r="J113" s="174">
        <f>SUM(O113,T113,Y113,AD113,AI113,AN113,AS113,AX113,BC113,BH113,BM113,BR113)</f>
        <v>186</v>
      </c>
      <c r="K113" s="175"/>
      <c r="L113" s="107"/>
      <c r="M113" s="109">
        <f aca="true" t="shared" si="53" ref="M113:M121">SUM(N113:O113)</f>
        <v>0</v>
      </c>
      <c r="N113" s="111"/>
      <c r="O113" s="111"/>
      <c r="P113" s="109"/>
      <c r="Q113" s="112"/>
      <c r="R113" s="109">
        <f aca="true" t="shared" si="54" ref="R113:R121">SUM(S113:T113)</f>
        <v>0</v>
      </c>
      <c r="S113" s="111"/>
      <c r="T113" s="111"/>
      <c r="U113" s="110"/>
      <c r="V113" s="112"/>
      <c r="W113" s="109">
        <f aca="true" t="shared" si="55" ref="W113:W121">SUM(X113:Y113)</f>
        <v>0</v>
      </c>
      <c r="X113" s="111"/>
      <c r="Y113" s="111"/>
      <c r="Z113" s="109"/>
      <c r="AA113" s="109"/>
      <c r="AB113" s="109">
        <f aca="true" t="shared" si="56" ref="AB113:AB121">SUM(AC113:AD113)</f>
        <v>0</v>
      </c>
      <c r="AC113" s="111"/>
      <c r="AD113" s="111"/>
      <c r="AE113" s="110"/>
      <c r="AF113" s="112"/>
      <c r="AG113" s="109">
        <f aca="true" t="shared" si="57" ref="AG113:AG121">SUM(AH113:AI113)</f>
        <v>0</v>
      </c>
      <c r="AH113" s="111"/>
      <c r="AI113" s="111"/>
      <c r="AJ113" s="109"/>
      <c r="AK113" s="174"/>
      <c r="AL113" s="109">
        <f aca="true" t="shared" si="58" ref="AL113:AL121">SUM(AM113:AN113)</f>
        <v>0</v>
      </c>
      <c r="AM113" s="176"/>
      <c r="AN113" s="176"/>
      <c r="AO113" s="110"/>
      <c r="AP113" s="237"/>
      <c r="AQ113" s="109">
        <f aca="true" t="shared" si="59" ref="AQ113:AQ121">SUM(AR113:AS113)</f>
        <v>0</v>
      </c>
      <c r="AR113" s="238"/>
      <c r="AS113" s="238"/>
      <c r="AT113" s="239"/>
      <c r="AU113" s="238"/>
      <c r="AV113" s="109">
        <f aca="true" t="shared" si="60" ref="AV113:AV121">SUM(AW113:AX113)</f>
        <v>0</v>
      </c>
      <c r="AW113" s="238"/>
      <c r="AX113" s="238"/>
      <c r="AY113" s="240"/>
      <c r="AZ113" s="109">
        <v>128</v>
      </c>
      <c r="BA113" s="109">
        <f aca="true" t="shared" si="61" ref="BA113:BA121">SUM(BB113:BC113)</f>
        <v>70</v>
      </c>
      <c r="BB113" s="176">
        <v>10</v>
      </c>
      <c r="BC113" s="176">
        <v>60</v>
      </c>
      <c r="BD113" s="109"/>
      <c r="BE113" s="112">
        <v>128</v>
      </c>
      <c r="BF113" s="109">
        <f aca="true" t="shared" si="62" ref="BF113:BF121">SUM(BG113:BH113)</f>
        <v>70</v>
      </c>
      <c r="BG113" s="176">
        <v>10</v>
      </c>
      <c r="BH113" s="176">
        <v>60</v>
      </c>
      <c r="BI113" s="110">
        <v>6</v>
      </c>
      <c r="BJ113" s="109">
        <v>138</v>
      </c>
      <c r="BK113" s="109">
        <f t="shared" si="39"/>
        <v>90</v>
      </c>
      <c r="BL113" s="176">
        <v>24</v>
      </c>
      <c r="BM113" s="176">
        <v>66</v>
      </c>
      <c r="BN113" s="109">
        <v>3</v>
      </c>
      <c r="BO113" s="109"/>
      <c r="BP113" s="109">
        <f aca="true" t="shared" si="63" ref="BP113:BP121">SUM(BQ113:BR113)</f>
        <v>0</v>
      </c>
      <c r="BQ113" s="176"/>
      <c r="BR113" s="176"/>
      <c r="BS113" s="109"/>
      <c r="BT113" s="167">
        <f t="shared" si="41"/>
        <v>9</v>
      </c>
      <c r="BU113" s="156" t="s">
        <v>441</v>
      </c>
      <c r="BV113" s="67"/>
      <c r="BW113" s="67"/>
      <c r="BX113" s="85"/>
      <c r="BY113" s="85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</row>
    <row r="114" spans="2:131" s="68" customFormat="1" ht="82.5" customHeight="1" outlineLevel="1">
      <c r="B114" s="170" t="s">
        <v>489</v>
      </c>
      <c r="C114" s="153" t="s">
        <v>242</v>
      </c>
      <c r="D114" s="104"/>
      <c r="E114" s="105"/>
      <c r="F114" s="107">
        <f>SUM(L114,Q114,V114,AA114,AF114,AK114,AP114,AU114,AZ114,BE114,BJ114,BO114)</f>
        <v>40</v>
      </c>
      <c r="G114" s="196">
        <f>SUM(H114:K114)</f>
        <v>0</v>
      </c>
      <c r="H114" s="172">
        <f>SUM(N114,S114,X114,AC114,AH114,AM114,AR114,AW114,BB114,BG114,BL114,BQ114)</f>
        <v>0</v>
      </c>
      <c r="I114" s="173"/>
      <c r="J114" s="174">
        <f>SUM(O114,T114,Y114,AD114,AI114,AN114,AS114,AX114,BC114,BH114,BM114,BR114)</f>
        <v>0</v>
      </c>
      <c r="K114" s="175"/>
      <c r="L114" s="107"/>
      <c r="M114" s="109">
        <f t="shared" si="53"/>
        <v>0</v>
      </c>
      <c r="N114" s="111"/>
      <c r="O114" s="111"/>
      <c r="P114" s="109"/>
      <c r="Q114" s="112"/>
      <c r="R114" s="109">
        <f t="shared" si="54"/>
        <v>0</v>
      </c>
      <c r="S114" s="111"/>
      <c r="T114" s="111"/>
      <c r="U114" s="110"/>
      <c r="V114" s="112"/>
      <c r="W114" s="109">
        <f t="shared" si="55"/>
        <v>0</v>
      </c>
      <c r="X114" s="111"/>
      <c r="Y114" s="111"/>
      <c r="Z114" s="109"/>
      <c r="AA114" s="109"/>
      <c r="AB114" s="109">
        <f t="shared" si="56"/>
        <v>0</v>
      </c>
      <c r="AC114" s="111"/>
      <c r="AD114" s="111"/>
      <c r="AE114" s="110"/>
      <c r="AF114" s="112"/>
      <c r="AG114" s="109">
        <f t="shared" si="57"/>
        <v>0</v>
      </c>
      <c r="AH114" s="111"/>
      <c r="AI114" s="111"/>
      <c r="AJ114" s="109"/>
      <c r="AK114" s="109"/>
      <c r="AL114" s="109">
        <f t="shared" si="58"/>
        <v>0</v>
      </c>
      <c r="AM114" s="111"/>
      <c r="AN114" s="111"/>
      <c r="AO114" s="110"/>
      <c r="AP114" s="112"/>
      <c r="AQ114" s="109">
        <f t="shared" si="59"/>
        <v>0</v>
      </c>
      <c r="AR114" s="111"/>
      <c r="AS114" s="111"/>
      <c r="AT114" s="109"/>
      <c r="AU114" s="109"/>
      <c r="AV114" s="109">
        <f t="shared" si="60"/>
        <v>0</v>
      </c>
      <c r="AW114" s="111"/>
      <c r="AX114" s="111"/>
      <c r="AY114" s="110"/>
      <c r="AZ114" s="112"/>
      <c r="BA114" s="109">
        <f t="shared" si="61"/>
        <v>0</v>
      </c>
      <c r="BB114" s="111"/>
      <c r="BC114" s="111"/>
      <c r="BD114" s="109"/>
      <c r="BE114" s="109">
        <v>40</v>
      </c>
      <c r="BF114" s="109">
        <f t="shared" si="62"/>
        <v>0</v>
      </c>
      <c r="BG114" s="111"/>
      <c r="BH114" s="111"/>
      <c r="BI114" s="110">
        <v>1</v>
      </c>
      <c r="BJ114" s="112"/>
      <c r="BK114" s="109">
        <f aca="true" t="shared" si="64" ref="BK114:BK121">SUM(BL114:BM114)</f>
        <v>0</v>
      </c>
      <c r="BL114" s="111"/>
      <c r="BM114" s="111"/>
      <c r="BN114" s="109"/>
      <c r="BO114" s="109"/>
      <c r="BP114" s="109">
        <f t="shared" si="63"/>
        <v>0</v>
      </c>
      <c r="BQ114" s="111"/>
      <c r="BR114" s="111"/>
      <c r="BS114" s="110"/>
      <c r="BT114" s="167">
        <f t="shared" si="41"/>
        <v>1</v>
      </c>
      <c r="BU114" s="156" t="s">
        <v>508</v>
      </c>
      <c r="BV114" s="67"/>
      <c r="BW114" s="67"/>
      <c r="BX114" s="85"/>
      <c r="BY114" s="85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</row>
    <row r="115" spans="2:131" ht="58.5">
      <c r="B115" s="188" t="s">
        <v>299</v>
      </c>
      <c r="C115" s="200" t="s">
        <v>360</v>
      </c>
      <c r="D115" s="113"/>
      <c r="E115" s="114"/>
      <c r="F115" s="115"/>
      <c r="G115" s="116"/>
      <c r="H115" s="115"/>
      <c r="I115" s="117"/>
      <c r="J115" s="117"/>
      <c r="K115" s="118"/>
      <c r="L115" s="115"/>
      <c r="M115" s="117"/>
      <c r="N115" s="119"/>
      <c r="O115" s="119"/>
      <c r="P115" s="117"/>
      <c r="Q115" s="117"/>
      <c r="R115" s="117"/>
      <c r="S115" s="119"/>
      <c r="T115" s="119"/>
      <c r="U115" s="118"/>
      <c r="V115" s="120"/>
      <c r="W115" s="117"/>
      <c r="X115" s="119"/>
      <c r="Y115" s="119"/>
      <c r="Z115" s="117"/>
      <c r="AA115" s="120"/>
      <c r="AB115" s="117"/>
      <c r="AC115" s="119"/>
      <c r="AD115" s="119"/>
      <c r="AE115" s="118"/>
      <c r="AF115" s="120"/>
      <c r="AG115" s="117"/>
      <c r="AH115" s="119"/>
      <c r="AI115" s="119"/>
      <c r="AJ115" s="117"/>
      <c r="AK115" s="117"/>
      <c r="AL115" s="117"/>
      <c r="AM115" s="119"/>
      <c r="AN115" s="119"/>
      <c r="AO115" s="118"/>
      <c r="AP115" s="120"/>
      <c r="AQ115" s="117"/>
      <c r="AR115" s="119"/>
      <c r="AS115" s="119"/>
      <c r="AT115" s="117"/>
      <c r="AU115" s="117"/>
      <c r="AV115" s="117"/>
      <c r="AW115" s="119"/>
      <c r="AX115" s="119"/>
      <c r="AY115" s="118"/>
      <c r="AZ115" s="120"/>
      <c r="BA115" s="117"/>
      <c r="BB115" s="119"/>
      <c r="BC115" s="119"/>
      <c r="BD115" s="117"/>
      <c r="BE115" s="117"/>
      <c r="BF115" s="117"/>
      <c r="BG115" s="119"/>
      <c r="BH115" s="119"/>
      <c r="BI115" s="118"/>
      <c r="BJ115" s="120"/>
      <c r="BK115" s="117"/>
      <c r="BL115" s="119"/>
      <c r="BM115" s="119"/>
      <c r="BN115" s="117"/>
      <c r="BO115" s="117"/>
      <c r="BP115" s="117"/>
      <c r="BQ115" s="119"/>
      <c r="BR115" s="119"/>
      <c r="BS115" s="118"/>
      <c r="BT115" s="121"/>
      <c r="BU115" s="151"/>
      <c r="BV115" s="69">
        <f>SUM(BT116:BT118)</f>
        <v>9</v>
      </c>
      <c r="BW115" s="66"/>
      <c r="BX115" s="85">
        <f>BM115/7</f>
        <v>0</v>
      </c>
      <c r="BY115" s="85">
        <f>BR115/7</f>
        <v>0</v>
      </c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</row>
    <row r="116" spans="2:131" ht="20.25">
      <c r="B116" s="170" t="s">
        <v>300</v>
      </c>
      <c r="C116" s="153" t="s">
        <v>78</v>
      </c>
      <c r="D116" s="104"/>
      <c r="E116" s="105">
        <v>9</v>
      </c>
      <c r="F116" s="107">
        <f aca="true" t="shared" si="65" ref="F116:F121">SUM(L116,Q116,V116,AA116,AF116,AK116,AP116,AU116,AZ116,BE116,BJ116,BO116)</f>
        <v>108</v>
      </c>
      <c r="G116" s="108">
        <f aca="true" t="shared" si="66" ref="G116:G121">SUM(H116:K116)</f>
        <v>42</v>
      </c>
      <c r="H116" s="107">
        <f aca="true" t="shared" si="67" ref="H116:H121">SUM(N116,S116,X116,AC116,AH116,AM116,AR116,AW116,BB116,BG116,BL116,BQ116)</f>
        <v>6</v>
      </c>
      <c r="I116" s="109"/>
      <c r="J116" s="109">
        <f aca="true" t="shared" si="68" ref="J116:J121">SUM(O116,T116,Y116,AD116,AI116,AN116,AS116,AX116,BC116,BH116,BM116,BR116)</f>
        <v>36</v>
      </c>
      <c r="K116" s="110"/>
      <c r="L116" s="107"/>
      <c r="M116" s="109">
        <f t="shared" si="53"/>
        <v>0</v>
      </c>
      <c r="N116" s="111"/>
      <c r="O116" s="111"/>
      <c r="P116" s="109"/>
      <c r="Q116" s="109"/>
      <c r="R116" s="109">
        <f t="shared" si="54"/>
        <v>0</v>
      </c>
      <c r="S116" s="111"/>
      <c r="T116" s="111"/>
      <c r="U116" s="110"/>
      <c r="V116" s="112"/>
      <c r="W116" s="109">
        <f t="shared" si="55"/>
        <v>0</v>
      </c>
      <c r="X116" s="111"/>
      <c r="Y116" s="111"/>
      <c r="Z116" s="109"/>
      <c r="AA116" s="109"/>
      <c r="AB116" s="109">
        <f t="shared" si="56"/>
        <v>0</v>
      </c>
      <c r="AC116" s="111"/>
      <c r="AD116" s="111"/>
      <c r="AE116" s="110"/>
      <c r="AF116" s="112"/>
      <c r="AG116" s="109">
        <f t="shared" si="57"/>
        <v>0</v>
      </c>
      <c r="AH116" s="111"/>
      <c r="AI116" s="111"/>
      <c r="AJ116" s="109"/>
      <c r="AK116" s="109">
        <f>AL116*1.4</f>
        <v>0</v>
      </c>
      <c r="AL116" s="109">
        <f t="shared" si="58"/>
        <v>0</v>
      </c>
      <c r="AM116" s="111"/>
      <c r="AN116" s="111"/>
      <c r="AO116" s="110">
        <f>AK116/36</f>
        <v>0</v>
      </c>
      <c r="AP116" s="112"/>
      <c r="AQ116" s="109">
        <f t="shared" si="59"/>
        <v>0</v>
      </c>
      <c r="AR116" s="111"/>
      <c r="AS116" s="111"/>
      <c r="AT116" s="109"/>
      <c r="AU116" s="109">
        <f>AV116*1.6</f>
        <v>0</v>
      </c>
      <c r="AV116" s="109">
        <f t="shared" si="60"/>
        <v>0</v>
      </c>
      <c r="AW116" s="111"/>
      <c r="AX116" s="111"/>
      <c r="AY116" s="110">
        <f>AU116/36</f>
        <v>0</v>
      </c>
      <c r="AZ116" s="112">
        <v>108</v>
      </c>
      <c r="BA116" s="109">
        <f t="shared" si="61"/>
        <v>42</v>
      </c>
      <c r="BB116" s="111">
        <v>6</v>
      </c>
      <c r="BC116" s="111">
        <v>36</v>
      </c>
      <c r="BD116" s="109">
        <v>3</v>
      </c>
      <c r="BE116" s="109"/>
      <c r="BF116" s="109">
        <f t="shared" si="62"/>
        <v>0</v>
      </c>
      <c r="BG116" s="111"/>
      <c r="BH116" s="111"/>
      <c r="BI116" s="110"/>
      <c r="BJ116" s="112"/>
      <c r="BK116" s="109">
        <f t="shared" si="64"/>
        <v>0</v>
      </c>
      <c r="BL116" s="111"/>
      <c r="BM116" s="111"/>
      <c r="BN116" s="109"/>
      <c r="BO116" s="109"/>
      <c r="BP116" s="109">
        <f t="shared" si="63"/>
        <v>0</v>
      </c>
      <c r="BQ116" s="111"/>
      <c r="BR116" s="111"/>
      <c r="BS116" s="110"/>
      <c r="BT116" s="167">
        <f aca="true" t="shared" si="69" ref="BT116:BT121">SUM(P116,U116,Z116,AE116,AJ116,AO116,AT116,AY116,BD116,BI116,BN116,BS116)</f>
        <v>3</v>
      </c>
      <c r="BU116" s="253" t="s">
        <v>443</v>
      </c>
      <c r="BV116" s="66"/>
      <c r="BW116" s="66"/>
      <c r="BX116" s="85">
        <f>BM116/7</f>
        <v>0</v>
      </c>
      <c r="BY116" s="85">
        <f>BR116/7</f>
        <v>0</v>
      </c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</row>
    <row r="117" spans="2:131" ht="49.5" customHeight="1">
      <c r="B117" s="170" t="s">
        <v>381</v>
      </c>
      <c r="C117" s="153" t="s">
        <v>77</v>
      </c>
      <c r="D117" s="104"/>
      <c r="E117" s="105">
        <v>11</v>
      </c>
      <c r="F117" s="107">
        <f t="shared" si="65"/>
        <v>90</v>
      </c>
      <c r="G117" s="108">
        <f t="shared" si="66"/>
        <v>36</v>
      </c>
      <c r="H117" s="107">
        <f t="shared" si="67"/>
        <v>6</v>
      </c>
      <c r="I117" s="109"/>
      <c r="J117" s="109">
        <f t="shared" si="68"/>
        <v>30</v>
      </c>
      <c r="K117" s="110"/>
      <c r="L117" s="107"/>
      <c r="M117" s="109">
        <f t="shared" si="53"/>
        <v>0</v>
      </c>
      <c r="N117" s="111"/>
      <c r="O117" s="111"/>
      <c r="P117" s="109"/>
      <c r="Q117" s="109"/>
      <c r="R117" s="109">
        <f t="shared" si="54"/>
        <v>0</v>
      </c>
      <c r="S117" s="111"/>
      <c r="T117" s="111"/>
      <c r="U117" s="110"/>
      <c r="V117" s="112"/>
      <c r="W117" s="109">
        <f t="shared" si="55"/>
        <v>0</v>
      </c>
      <c r="X117" s="111"/>
      <c r="Y117" s="111"/>
      <c r="Z117" s="109"/>
      <c r="AA117" s="109"/>
      <c r="AB117" s="109">
        <f t="shared" si="56"/>
        <v>0</v>
      </c>
      <c r="AC117" s="111"/>
      <c r="AD117" s="111"/>
      <c r="AE117" s="110"/>
      <c r="AF117" s="112"/>
      <c r="AG117" s="109">
        <f t="shared" si="57"/>
        <v>0</v>
      </c>
      <c r="AH117" s="111"/>
      <c r="AI117" s="111"/>
      <c r="AJ117" s="109"/>
      <c r="AK117" s="109">
        <f>AL117*1.4</f>
        <v>0</v>
      </c>
      <c r="AL117" s="109">
        <f t="shared" si="58"/>
        <v>0</v>
      </c>
      <c r="AM117" s="111"/>
      <c r="AN117" s="111"/>
      <c r="AO117" s="110">
        <f>AK117/36</f>
        <v>0</v>
      </c>
      <c r="AP117" s="112"/>
      <c r="AQ117" s="109">
        <f t="shared" si="59"/>
        <v>0</v>
      </c>
      <c r="AR117" s="111"/>
      <c r="AS117" s="111"/>
      <c r="AT117" s="109"/>
      <c r="AU117" s="109"/>
      <c r="AV117" s="109">
        <f t="shared" si="60"/>
        <v>0</v>
      </c>
      <c r="AW117" s="111"/>
      <c r="AX117" s="111"/>
      <c r="AY117" s="110"/>
      <c r="AZ117" s="112"/>
      <c r="BA117" s="109">
        <f t="shared" si="61"/>
        <v>0</v>
      </c>
      <c r="BB117" s="111"/>
      <c r="BC117" s="111"/>
      <c r="BD117" s="109"/>
      <c r="BE117" s="109"/>
      <c r="BF117" s="109">
        <f t="shared" si="62"/>
        <v>0</v>
      </c>
      <c r="BG117" s="111"/>
      <c r="BH117" s="111"/>
      <c r="BI117" s="110"/>
      <c r="BJ117" s="112">
        <v>90</v>
      </c>
      <c r="BK117" s="109">
        <f t="shared" si="64"/>
        <v>36</v>
      </c>
      <c r="BL117" s="111">
        <v>6</v>
      </c>
      <c r="BM117" s="111">
        <v>30</v>
      </c>
      <c r="BN117" s="109">
        <v>3</v>
      </c>
      <c r="BO117" s="112"/>
      <c r="BP117" s="109"/>
      <c r="BQ117" s="111"/>
      <c r="BR117" s="111"/>
      <c r="BS117" s="109"/>
      <c r="BT117" s="167">
        <f t="shared" si="69"/>
        <v>3</v>
      </c>
      <c r="BU117" s="253" t="s">
        <v>444</v>
      </c>
      <c r="BV117" s="66"/>
      <c r="BW117" s="66"/>
      <c r="BX117" s="85"/>
      <c r="BY117" s="85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</row>
    <row r="118" spans="2:131" ht="20.25">
      <c r="B118" s="170" t="s">
        <v>490</v>
      </c>
      <c r="C118" s="153" t="s">
        <v>90</v>
      </c>
      <c r="D118" s="104"/>
      <c r="E118" s="105">
        <v>12</v>
      </c>
      <c r="F118" s="107">
        <f t="shared" si="65"/>
        <v>90</v>
      </c>
      <c r="G118" s="108">
        <f t="shared" si="66"/>
        <v>36</v>
      </c>
      <c r="H118" s="107">
        <f t="shared" si="67"/>
        <v>6</v>
      </c>
      <c r="I118" s="109"/>
      <c r="J118" s="109">
        <f t="shared" si="68"/>
        <v>30</v>
      </c>
      <c r="K118" s="110"/>
      <c r="L118" s="107"/>
      <c r="M118" s="109">
        <f t="shared" si="53"/>
        <v>0</v>
      </c>
      <c r="N118" s="111"/>
      <c r="O118" s="111"/>
      <c r="P118" s="109"/>
      <c r="Q118" s="109"/>
      <c r="R118" s="109">
        <f t="shared" si="54"/>
        <v>0</v>
      </c>
      <c r="S118" s="111"/>
      <c r="T118" s="111"/>
      <c r="U118" s="110"/>
      <c r="V118" s="112"/>
      <c r="W118" s="109">
        <f t="shared" si="55"/>
        <v>0</v>
      </c>
      <c r="X118" s="111"/>
      <c r="Y118" s="111"/>
      <c r="Z118" s="109"/>
      <c r="AA118" s="109"/>
      <c r="AB118" s="109">
        <f t="shared" si="56"/>
        <v>0</v>
      </c>
      <c r="AC118" s="111"/>
      <c r="AD118" s="111"/>
      <c r="AE118" s="110"/>
      <c r="AF118" s="112"/>
      <c r="AG118" s="109">
        <f t="shared" si="57"/>
        <v>0</v>
      </c>
      <c r="AH118" s="111"/>
      <c r="AI118" s="111"/>
      <c r="AJ118" s="109"/>
      <c r="AK118" s="109"/>
      <c r="AL118" s="109">
        <f t="shared" si="58"/>
        <v>0</v>
      </c>
      <c r="AM118" s="111"/>
      <c r="AN118" s="111"/>
      <c r="AO118" s="110"/>
      <c r="AP118" s="112"/>
      <c r="AQ118" s="109">
        <f t="shared" si="59"/>
        <v>0</v>
      </c>
      <c r="AR118" s="111"/>
      <c r="AS118" s="111"/>
      <c r="AT118" s="109"/>
      <c r="AU118" s="109"/>
      <c r="AV118" s="109">
        <f t="shared" si="60"/>
        <v>0</v>
      </c>
      <c r="AW118" s="111"/>
      <c r="AX118" s="111"/>
      <c r="AY118" s="110"/>
      <c r="AZ118" s="112"/>
      <c r="BA118" s="109">
        <f t="shared" si="61"/>
        <v>0</v>
      </c>
      <c r="BB118" s="111"/>
      <c r="BC118" s="111"/>
      <c r="BD118" s="109"/>
      <c r="BE118" s="109"/>
      <c r="BF118" s="109">
        <f t="shared" si="62"/>
        <v>0</v>
      </c>
      <c r="BG118" s="111"/>
      <c r="BH118" s="111"/>
      <c r="BI118" s="110"/>
      <c r="BJ118" s="112"/>
      <c r="BK118" s="109">
        <f t="shared" si="64"/>
        <v>0</v>
      </c>
      <c r="BL118" s="111"/>
      <c r="BM118" s="111"/>
      <c r="BN118" s="109"/>
      <c r="BO118" s="112">
        <v>90</v>
      </c>
      <c r="BP118" s="109">
        <f t="shared" si="63"/>
        <v>36</v>
      </c>
      <c r="BQ118" s="111">
        <v>6</v>
      </c>
      <c r="BR118" s="111">
        <v>30</v>
      </c>
      <c r="BS118" s="109">
        <v>3</v>
      </c>
      <c r="BT118" s="167">
        <f t="shared" si="69"/>
        <v>3</v>
      </c>
      <c r="BU118" s="253" t="s">
        <v>445</v>
      </c>
      <c r="BV118" s="66"/>
      <c r="BW118" s="66"/>
      <c r="BX118" s="85">
        <f>BM118/7</f>
        <v>0</v>
      </c>
      <c r="BY118" s="85">
        <f>BR118/7</f>
        <v>4.285714285714286</v>
      </c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</row>
    <row r="119" spans="2:131" ht="58.5">
      <c r="B119" s="163" t="s">
        <v>301</v>
      </c>
      <c r="C119" s="200" t="s">
        <v>334</v>
      </c>
      <c r="D119" s="201"/>
      <c r="E119" s="190"/>
      <c r="F119" s="115"/>
      <c r="G119" s="202"/>
      <c r="H119" s="203"/>
      <c r="I119" s="232"/>
      <c r="J119" s="193"/>
      <c r="K119" s="205"/>
      <c r="L119" s="203"/>
      <c r="M119" s="117"/>
      <c r="N119" s="206"/>
      <c r="O119" s="206"/>
      <c r="P119" s="256"/>
      <c r="Q119" s="204"/>
      <c r="R119" s="117"/>
      <c r="S119" s="206"/>
      <c r="T119" s="206"/>
      <c r="U119" s="118"/>
      <c r="V119" s="204"/>
      <c r="W119" s="117"/>
      <c r="X119" s="206"/>
      <c r="Y119" s="206"/>
      <c r="Z119" s="117"/>
      <c r="AA119" s="193"/>
      <c r="AB119" s="117"/>
      <c r="AC119" s="206"/>
      <c r="AD119" s="206"/>
      <c r="AE119" s="118"/>
      <c r="AF119" s="204"/>
      <c r="AG119" s="117"/>
      <c r="AH119" s="206"/>
      <c r="AI119" s="206"/>
      <c r="AJ119" s="256"/>
      <c r="AK119" s="193"/>
      <c r="AL119" s="117"/>
      <c r="AM119" s="206"/>
      <c r="AN119" s="206"/>
      <c r="AO119" s="118"/>
      <c r="AP119" s="204"/>
      <c r="AQ119" s="117"/>
      <c r="AR119" s="206"/>
      <c r="AS119" s="265"/>
      <c r="AT119" s="256"/>
      <c r="AU119" s="266"/>
      <c r="AV119" s="117"/>
      <c r="AW119" s="206"/>
      <c r="AX119" s="206"/>
      <c r="AY119" s="118"/>
      <c r="AZ119" s="204"/>
      <c r="BA119" s="117"/>
      <c r="BB119" s="206"/>
      <c r="BC119" s="206"/>
      <c r="BD119" s="117"/>
      <c r="BE119" s="193"/>
      <c r="BF119" s="117"/>
      <c r="BG119" s="206"/>
      <c r="BH119" s="206"/>
      <c r="BI119" s="118"/>
      <c r="BJ119" s="204"/>
      <c r="BK119" s="117"/>
      <c r="BL119" s="206"/>
      <c r="BM119" s="206"/>
      <c r="BN119" s="117"/>
      <c r="BO119" s="193"/>
      <c r="BP119" s="117"/>
      <c r="BQ119" s="206"/>
      <c r="BR119" s="206"/>
      <c r="BS119" s="118"/>
      <c r="BT119" s="121"/>
      <c r="BU119" s="151"/>
      <c r="BV119" s="66"/>
      <c r="BW119" s="66"/>
      <c r="BX119" s="85"/>
      <c r="BY119" s="85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</row>
    <row r="120" spans="2:131" ht="62.25" customHeight="1">
      <c r="B120" s="166" t="s">
        <v>302</v>
      </c>
      <c r="C120" s="153" t="s">
        <v>220</v>
      </c>
      <c r="D120" s="171">
        <v>11</v>
      </c>
      <c r="E120" s="195"/>
      <c r="F120" s="107">
        <f t="shared" si="65"/>
        <v>90</v>
      </c>
      <c r="G120" s="196">
        <f t="shared" si="66"/>
        <v>36</v>
      </c>
      <c r="H120" s="172">
        <f t="shared" si="67"/>
        <v>6</v>
      </c>
      <c r="I120" s="173"/>
      <c r="J120" s="174">
        <f t="shared" si="68"/>
        <v>30</v>
      </c>
      <c r="K120" s="175"/>
      <c r="L120" s="172"/>
      <c r="M120" s="109">
        <f t="shared" si="53"/>
        <v>0</v>
      </c>
      <c r="N120" s="176"/>
      <c r="O120" s="176"/>
      <c r="P120" s="161"/>
      <c r="Q120" s="177"/>
      <c r="R120" s="109">
        <f t="shared" si="54"/>
        <v>0</v>
      </c>
      <c r="S120" s="176"/>
      <c r="T120" s="176"/>
      <c r="U120" s="110"/>
      <c r="V120" s="177"/>
      <c r="W120" s="109">
        <f t="shared" si="55"/>
        <v>0</v>
      </c>
      <c r="X120" s="176"/>
      <c r="Y120" s="176"/>
      <c r="Z120" s="109"/>
      <c r="AA120" s="174"/>
      <c r="AB120" s="109">
        <f t="shared" si="56"/>
        <v>0</v>
      </c>
      <c r="AC120" s="176"/>
      <c r="AD120" s="176"/>
      <c r="AE120" s="110"/>
      <c r="AF120" s="177"/>
      <c r="AG120" s="109">
        <f t="shared" si="57"/>
        <v>0</v>
      </c>
      <c r="AH120" s="176"/>
      <c r="AI120" s="176"/>
      <c r="AJ120" s="109"/>
      <c r="AK120" s="174"/>
      <c r="AL120" s="109">
        <f t="shared" si="58"/>
        <v>0</v>
      </c>
      <c r="AM120" s="176"/>
      <c r="AN120" s="176"/>
      <c r="AO120" s="110"/>
      <c r="AP120" s="177"/>
      <c r="AQ120" s="109">
        <f t="shared" si="59"/>
        <v>0</v>
      </c>
      <c r="AR120" s="176"/>
      <c r="AS120" s="176"/>
      <c r="AT120" s="109"/>
      <c r="AU120" s="109"/>
      <c r="AV120" s="109">
        <f t="shared" si="60"/>
        <v>0</v>
      </c>
      <c r="AW120" s="176"/>
      <c r="AX120" s="176"/>
      <c r="AY120" s="110"/>
      <c r="AZ120" s="177"/>
      <c r="BA120" s="109">
        <f t="shared" si="61"/>
        <v>0</v>
      </c>
      <c r="BB120" s="176"/>
      <c r="BC120" s="176"/>
      <c r="BD120" s="109"/>
      <c r="BE120" s="109"/>
      <c r="BF120" s="109">
        <f t="shared" si="62"/>
        <v>0</v>
      </c>
      <c r="BG120" s="176"/>
      <c r="BH120" s="176"/>
      <c r="BI120" s="110"/>
      <c r="BJ120" s="109">
        <v>90</v>
      </c>
      <c r="BK120" s="109">
        <f t="shared" si="64"/>
        <v>36</v>
      </c>
      <c r="BL120" s="176">
        <v>6</v>
      </c>
      <c r="BM120" s="176">
        <v>30</v>
      </c>
      <c r="BN120" s="109">
        <v>3</v>
      </c>
      <c r="BO120" s="112"/>
      <c r="BP120" s="109">
        <f t="shared" si="63"/>
        <v>0</v>
      </c>
      <c r="BQ120" s="176"/>
      <c r="BR120" s="176"/>
      <c r="BS120" s="109"/>
      <c r="BT120" s="167">
        <f t="shared" si="69"/>
        <v>3</v>
      </c>
      <c r="BU120" s="156" t="s">
        <v>446</v>
      </c>
      <c r="BV120" s="66"/>
      <c r="BW120" s="66"/>
      <c r="BX120" s="85"/>
      <c r="BY120" s="85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</row>
    <row r="121" spans="2:131" ht="84.75" customHeight="1" thickBot="1">
      <c r="B121" s="267" t="s">
        <v>303</v>
      </c>
      <c r="C121" s="224" t="s">
        <v>333</v>
      </c>
      <c r="D121" s="268"/>
      <c r="E121" s="269">
        <v>12</v>
      </c>
      <c r="F121" s="227">
        <f t="shared" si="65"/>
        <v>128</v>
      </c>
      <c r="G121" s="270">
        <f t="shared" si="66"/>
        <v>82</v>
      </c>
      <c r="H121" s="271">
        <f t="shared" si="67"/>
        <v>10</v>
      </c>
      <c r="I121" s="272"/>
      <c r="J121" s="273">
        <f t="shared" si="68"/>
        <v>72</v>
      </c>
      <c r="K121" s="274"/>
      <c r="L121" s="271"/>
      <c r="M121" s="197">
        <f t="shared" si="53"/>
        <v>0</v>
      </c>
      <c r="N121" s="275"/>
      <c r="O121" s="275"/>
      <c r="P121" s="276"/>
      <c r="Q121" s="277"/>
      <c r="R121" s="197">
        <f t="shared" si="54"/>
        <v>0</v>
      </c>
      <c r="S121" s="275"/>
      <c r="T121" s="275"/>
      <c r="U121" s="229"/>
      <c r="V121" s="277"/>
      <c r="W121" s="197">
        <f t="shared" si="55"/>
        <v>0</v>
      </c>
      <c r="X121" s="275"/>
      <c r="Y121" s="275"/>
      <c r="Z121" s="197"/>
      <c r="AA121" s="273"/>
      <c r="AB121" s="197">
        <f t="shared" si="56"/>
        <v>0</v>
      </c>
      <c r="AC121" s="275"/>
      <c r="AD121" s="275"/>
      <c r="AE121" s="229"/>
      <c r="AF121" s="277"/>
      <c r="AG121" s="197">
        <f t="shared" si="57"/>
        <v>0</v>
      </c>
      <c r="AH121" s="275"/>
      <c r="AI121" s="275"/>
      <c r="AJ121" s="197"/>
      <c r="AK121" s="273"/>
      <c r="AL121" s="197">
        <f t="shared" si="58"/>
        <v>0</v>
      </c>
      <c r="AM121" s="275"/>
      <c r="AN121" s="275"/>
      <c r="AO121" s="229"/>
      <c r="AP121" s="277"/>
      <c r="AQ121" s="197">
        <f t="shared" si="59"/>
        <v>0</v>
      </c>
      <c r="AR121" s="275"/>
      <c r="AS121" s="275"/>
      <c r="AT121" s="197"/>
      <c r="AU121" s="197"/>
      <c r="AV121" s="197">
        <f t="shared" si="60"/>
        <v>0</v>
      </c>
      <c r="AW121" s="275"/>
      <c r="AX121" s="275"/>
      <c r="AY121" s="229"/>
      <c r="AZ121" s="277"/>
      <c r="BA121" s="197">
        <f t="shared" si="61"/>
        <v>0</v>
      </c>
      <c r="BB121" s="275"/>
      <c r="BC121" s="275"/>
      <c r="BD121" s="197"/>
      <c r="BE121" s="273"/>
      <c r="BF121" s="197">
        <f t="shared" si="62"/>
        <v>0</v>
      </c>
      <c r="BG121" s="275"/>
      <c r="BH121" s="275"/>
      <c r="BI121" s="229"/>
      <c r="BJ121" s="231"/>
      <c r="BK121" s="197">
        <f t="shared" si="64"/>
        <v>0</v>
      </c>
      <c r="BL121" s="275"/>
      <c r="BM121" s="275"/>
      <c r="BN121" s="197"/>
      <c r="BO121" s="231">
        <v>128</v>
      </c>
      <c r="BP121" s="197">
        <f t="shared" si="63"/>
        <v>82</v>
      </c>
      <c r="BQ121" s="275">
        <v>10</v>
      </c>
      <c r="BR121" s="275">
        <v>72</v>
      </c>
      <c r="BS121" s="197">
        <v>3</v>
      </c>
      <c r="BT121" s="278">
        <f t="shared" si="69"/>
        <v>3</v>
      </c>
      <c r="BU121" s="279" t="s">
        <v>447</v>
      </c>
      <c r="BV121" s="66"/>
      <c r="BW121" s="66"/>
      <c r="BX121" s="85"/>
      <c r="BY121" s="85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</row>
    <row r="122" spans="2:131" ht="45.75" customHeight="1" collapsed="1" thickBot="1">
      <c r="B122" s="280" t="s">
        <v>577</v>
      </c>
      <c r="C122" s="281" t="s">
        <v>137</v>
      </c>
      <c r="D122" s="282"/>
      <c r="E122" s="283"/>
      <c r="F122" s="284"/>
      <c r="G122" s="285"/>
      <c r="H122" s="284"/>
      <c r="I122" s="286"/>
      <c r="J122" s="286"/>
      <c r="K122" s="285"/>
      <c r="L122" s="284"/>
      <c r="M122" s="286"/>
      <c r="N122" s="286"/>
      <c r="O122" s="286"/>
      <c r="P122" s="287"/>
      <c r="Q122" s="286"/>
      <c r="R122" s="286"/>
      <c r="S122" s="286"/>
      <c r="T122" s="286"/>
      <c r="U122" s="285"/>
      <c r="V122" s="287"/>
      <c r="W122" s="287"/>
      <c r="X122" s="287"/>
      <c r="Y122" s="287"/>
      <c r="Z122" s="287"/>
      <c r="AA122" s="287"/>
      <c r="AB122" s="287"/>
      <c r="AC122" s="287"/>
      <c r="AD122" s="287"/>
      <c r="AE122" s="285"/>
      <c r="AF122" s="288"/>
      <c r="AG122" s="286"/>
      <c r="AH122" s="286"/>
      <c r="AI122" s="286"/>
      <c r="AJ122" s="287"/>
      <c r="AK122" s="286"/>
      <c r="AL122" s="286"/>
      <c r="AM122" s="286"/>
      <c r="AN122" s="286"/>
      <c r="AO122" s="285"/>
      <c r="AP122" s="288"/>
      <c r="AQ122" s="286"/>
      <c r="AR122" s="286"/>
      <c r="AS122" s="286"/>
      <c r="AT122" s="287"/>
      <c r="AU122" s="286"/>
      <c r="AV122" s="286"/>
      <c r="AW122" s="286"/>
      <c r="AX122" s="286"/>
      <c r="AY122" s="285"/>
      <c r="AZ122" s="288"/>
      <c r="BA122" s="286"/>
      <c r="BB122" s="286"/>
      <c r="BC122" s="286"/>
      <c r="BD122" s="287"/>
      <c r="BE122" s="286"/>
      <c r="BF122" s="286"/>
      <c r="BG122" s="286"/>
      <c r="BH122" s="286"/>
      <c r="BI122" s="285"/>
      <c r="BJ122" s="288"/>
      <c r="BK122" s="286"/>
      <c r="BL122" s="286"/>
      <c r="BM122" s="286"/>
      <c r="BN122" s="287"/>
      <c r="BO122" s="288"/>
      <c r="BP122" s="286"/>
      <c r="BQ122" s="286"/>
      <c r="BR122" s="286"/>
      <c r="BS122" s="287"/>
      <c r="BT122" s="289"/>
      <c r="BU122" s="290"/>
      <c r="BV122" s="66"/>
      <c r="BW122" s="66"/>
      <c r="BX122" s="85"/>
      <c r="BY122" s="85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</row>
    <row r="123" spans="2:131" ht="63" customHeight="1">
      <c r="B123" s="260" t="s">
        <v>578</v>
      </c>
      <c r="C123" s="291" t="s">
        <v>538</v>
      </c>
      <c r="D123" s="292"/>
      <c r="E123" s="293" t="s">
        <v>173</v>
      </c>
      <c r="F123" s="294" t="s">
        <v>174</v>
      </c>
      <c r="G123" s="295" t="s">
        <v>175</v>
      </c>
      <c r="H123" s="296" t="s">
        <v>179</v>
      </c>
      <c r="I123" s="297"/>
      <c r="J123" s="297"/>
      <c r="K123" s="298" t="s">
        <v>179</v>
      </c>
      <c r="L123" s="294"/>
      <c r="M123" s="297"/>
      <c r="N123" s="299"/>
      <c r="O123" s="299"/>
      <c r="P123" s="300"/>
      <c r="Q123" s="300"/>
      <c r="R123" s="297"/>
      <c r="S123" s="299"/>
      <c r="T123" s="299"/>
      <c r="U123" s="159"/>
      <c r="V123" s="301" t="s">
        <v>174</v>
      </c>
      <c r="W123" s="297" t="s">
        <v>175</v>
      </c>
      <c r="X123" s="299" t="s">
        <v>179</v>
      </c>
      <c r="Y123" s="299" t="s">
        <v>179</v>
      </c>
      <c r="Z123" s="161"/>
      <c r="AA123" s="161"/>
      <c r="AB123" s="173"/>
      <c r="AC123" s="302"/>
      <c r="AD123" s="302"/>
      <c r="AE123" s="162"/>
      <c r="AF123" s="264"/>
      <c r="AG123" s="173"/>
      <c r="AH123" s="302"/>
      <c r="AI123" s="302"/>
      <c r="AJ123" s="161"/>
      <c r="AK123" s="161"/>
      <c r="AL123" s="173"/>
      <c r="AM123" s="302"/>
      <c r="AN123" s="302"/>
      <c r="AO123" s="162"/>
      <c r="AP123" s="264"/>
      <c r="AQ123" s="173"/>
      <c r="AR123" s="302"/>
      <c r="AS123" s="302"/>
      <c r="AT123" s="161"/>
      <c r="AU123" s="161"/>
      <c r="AV123" s="173"/>
      <c r="AW123" s="302"/>
      <c r="AX123" s="302"/>
      <c r="AY123" s="162"/>
      <c r="AZ123" s="264"/>
      <c r="BA123" s="173"/>
      <c r="BB123" s="302"/>
      <c r="BC123" s="302"/>
      <c r="BD123" s="161"/>
      <c r="BE123" s="161"/>
      <c r="BF123" s="173"/>
      <c r="BG123" s="302"/>
      <c r="BH123" s="302"/>
      <c r="BI123" s="162"/>
      <c r="BJ123" s="264"/>
      <c r="BK123" s="173"/>
      <c r="BL123" s="302"/>
      <c r="BM123" s="302"/>
      <c r="BN123" s="161"/>
      <c r="BO123" s="264"/>
      <c r="BP123" s="173"/>
      <c r="BQ123" s="302"/>
      <c r="BR123" s="302"/>
      <c r="BS123" s="162"/>
      <c r="BT123" s="303">
        <f>SUM(P123,U123,Z123,AE123,AJ123,AO123,AT123,AY123,BD123,BI123,BN123,BS123)</f>
        <v>0</v>
      </c>
      <c r="BU123" s="253" t="s">
        <v>448</v>
      </c>
      <c r="BV123" s="66"/>
      <c r="BW123" s="66"/>
      <c r="BX123" s="85"/>
      <c r="BY123" s="85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</row>
    <row r="124" spans="2:131" ht="28.5" customHeight="1" thickBot="1">
      <c r="B124" s="304" t="s">
        <v>579</v>
      </c>
      <c r="C124" s="305" t="s">
        <v>96</v>
      </c>
      <c r="D124" s="306"/>
      <c r="E124" s="307"/>
      <c r="F124" s="308" t="s">
        <v>544</v>
      </c>
      <c r="G124" s="347" t="s">
        <v>544</v>
      </c>
      <c r="H124" s="309"/>
      <c r="I124" s="305"/>
      <c r="J124" s="317" t="s">
        <v>544</v>
      </c>
      <c r="K124" s="311"/>
      <c r="L124" s="312"/>
      <c r="M124" s="313"/>
      <c r="N124" s="313"/>
      <c r="O124" s="313"/>
      <c r="P124" s="314"/>
      <c r="Q124" s="313"/>
      <c r="R124" s="313"/>
      <c r="S124" s="313"/>
      <c r="T124" s="313"/>
      <c r="U124" s="311"/>
      <c r="V124" s="315"/>
      <c r="W124" s="315"/>
      <c r="X124" s="313"/>
      <c r="Y124" s="313"/>
      <c r="Z124" s="314"/>
      <c r="AA124" s="313"/>
      <c r="AB124" s="313"/>
      <c r="AC124" s="314"/>
      <c r="AD124" s="313"/>
      <c r="AE124" s="311"/>
      <c r="AF124" s="316" t="s">
        <v>175</v>
      </c>
      <c r="AG124" s="317" t="s">
        <v>175</v>
      </c>
      <c r="AH124" s="318"/>
      <c r="AI124" s="318" t="s">
        <v>175</v>
      </c>
      <c r="AJ124" s="319"/>
      <c r="AK124" s="317" t="s">
        <v>142</v>
      </c>
      <c r="AL124" s="317" t="s">
        <v>142</v>
      </c>
      <c r="AM124" s="318"/>
      <c r="AN124" s="317" t="s">
        <v>142</v>
      </c>
      <c r="AO124" s="320"/>
      <c r="AP124" s="316" t="s">
        <v>135</v>
      </c>
      <c r="AQ124" s="317" t="s">
        <v>135</v>
      </c>
      <c r="AR124" s="318"/>
      <c r="AS124" s="318" t="s">
        <v>136</v>
      </c>
      <c r="AT124" s="319"/>
      <c r="AU124" s="317" t="s">
        <v>142</v>
      </c>
      <c r="AV124" s="317" t="s">
        <v>142</v>
      </c>
      <c r="AW124" s="318"/>
      <c r="AX124" s="317" t="s">
        <v>142</v>
      </c>
      <c r="AY124" s="320"/>
      <c r="AZ124" s="316" t="s">
        <v>175</v>
      </c>
      <c r="BA124" s="316" t="s">
        <v>175</v>
      </c>
      <c r="BB124" s="313"/>
      <c r="BC124" s="316" t="s">
        <v>175</v>
      </c>
      <c r="BD124" s="314"/>
      <c r="BE124" s="317" t="s">
        <v>136</v>
      </c>
      <c r="BF124" s="317" t="s">
        <v>136</v>
      </c>
      <c r="BG124" s="318"/>
      <c r="BH124" s="317" t="s">
        <v>136</v>
      </c>
      <c r="BI124" s="311"/>
      <c r="BJ124" s="315"/>
      <c r="BK124" s="313"/>
      <c r="BL124" s="313"/>
      <c r="BM124" s="313"/>
      <c r="BN124" s="314"/>
      <c r="BO124" s="315"/>
      <c r="BP124" s="313"/>
      <c r="BQ124" s="321"/>
      <c r="BR124" s="302"/>
      <c r="BS124" s="322"/>
      <c r="BT124" s="323"/>
      <c r="BU124" s="156"/>
      <c r="BV124" s="66"/>
      <c r="BW124" s="66"/>
      <c r="BX124" s="85"/>
      <c r="BY124" s="85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</row>
    <row r="125" spans="2:131" ht="39.75" thickBot="1">
      <c r="B125" s="324" t="s">
        <v>580</v>
      </c>
      <c r="C125" s="325" t="s">
        <v>123</v>
      </c>
      <c r="D125" s="326"/>
      <c r="E125" s="327"/>
      <c r="F125" s="328"/>
      <c r="G125" s="329"/>
      <c r="H125" s="328"/>
      <c r="I125" s="330"/>
      <c r="J125" s="330"/>
      <c r="K125" s="329"/>
      <c r="L125" s="328"/>
      <c r="M125" s="330"/>
      <c r="N125" s="330"/>
      <c r="O125" s="330"/>
      <c r="P125" s="331"/>
      <c r="Q125" s="330"/>
      <c r="R125" s="330"/>
      <c r="S125" s="330"/>
      <c r="T125" s="330"/>
      <c r="U125" s="329"/>
      <c r="V125" s="332"/>
      <c r="W125" s="286"/>
      <c r="X125" s="286"/>
      <c r="Y125" s="286"/>
      <c r="Z125" s="287"/>
      <c r="AA125" s="286"/>
      <c r="AB125" s="286"/>
      <c r="AC125" s="287"/>
      <c r="AD125" s="286"/>
      <c r="AE125" s="285"/>
      <c r="AF125" s="288"/>
      <c r="AG125" s="286"/>
      <c r="AH125" s="286"/>
      <c r="AI125" s="286"/>
      <c r="AJ125" s="287"/>
      <c r="AK125" s="286"/>
      <c r="AL125" s="286"/>
      <c r="AM125" s="286"/>
      <c r="AN125" s="286"/>
      <c r="AO125" s="285"/>
      <c r="AP125" s="288"/>
      <c r="AQ125" s="286"/>
      <c r="AR125" s="286"/>
      <c r="AS125" s="286"/>
      <c r="AT125" s="287"/>
      <c r="AU125" s="286"/>
      <c r="AV125" s="286"/>
      <c r="AW125" s="286"/>
      <c r="AX125" s="286"/>
      <c r="AY125" s="285"/>
      <c r="AZ125" s="288"/>
      <c r="BA125" s="286"/>
      <c r="BB125" s="286"/>
      <c r="BC125" s="286"/>
      <c r="BD125" s="287"/>
      <c r="BE125" s="286"/>
      <c r="BF125" s="286"/>
      <c r="BG125" s="286"/>
      <c r="BH125" s="286"/>
      <c r="BI125" s="285"/>
      <c r="BJ125" s="288"/>
      <c r="BK125" s="286"/>
      <c r="BL125" s="286"/>
      <c r="BM125" s="286"/>
      <c r="BN125" s="287"/>
      <c r="BO125" s="288"/>
      <c r="BP125" s="333"/>
      <c r="BQ125" s="333"/>
      <c r="BR125" s="333"/>
      <c r="BS125" s="287"/>
      <c r="BT125" s="289"/>
      <c r="BU125" s="151"/>
      <c r="BV125" s="66"/>
      <c r="BW125" s="66"/>
      <c r="BX125" s="85"/>
      <c r="BY125" s="85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</row>
    <row r="126" spans="2:131" ht="66" customHeight="1">
      <c r="B126" s="170" t="s">
        <v>581</v>
      </c>
      <c r="C126" s="153" t="s">
        <v>539</v>
      </c>
      <c r="D126" s="171"/>
      <c r="E126" s="195" t="s">
        <v>144</v>
      </c>
      <c r="F126" s="334" t="s">
        <v>181</v>
      </c>
      <c r="G126" s="335" t="s">
        <v>175</v>
      </c>
      <c r="H126" s="336" t="s">
        <v>179</v>
      </c>
      <c r="I126" s="335"/>
      <c r="J126" s="335"/>
      <c r="K126" s="337" t="s">
        <v>179</v>
      </c>
      <c r="L126" s="334" t="s">
        <v>181</v>
      </c>
      <c r="M126" s="335" t="s">
        <v>175</v>
      </c>
      <c r="N126" s="338" t="s">
        <v>179</v>
      </c>
      <c r="O126" s="338" t="s">
        <v>179</v>
      </c>
      <c r="P126" s="109"/>
      <c r="Q126" s="174"/>
      <c r="R126" s="174"/>
      <c r="S126" s="176"/>
      <c r="T126" s="176"/>
      <c r="U126" s="110">
        <f>Q126/36</f>
        <v>0</v>
      </c>
      <c r="V126" s="112">
        <f>W126*1.6</f>
        <v>0</v>
      </c>
      <c r="W126" s="173">
        <f>SUM(X126:Y126)</f>
        <v>0</v>
      </c>
      <c r="X126" s="302"/>
      <c r="Y126" s="302"/>
      <c r="Z126" s="161">
        <f>V126/36</f>
        <v>0</v>
      </c>
      <c r="AA126" s="173"/>
      <c r="AB126" s="173"/>
      <c r="AC126" s="302"/>
      <c r="AD126" s="302"/>
      <c r="AE126" s="162"/>
      <c r="AF126" s="339"/>
      <c r="AG126" s="173"/>
      <c r="AH126" s="302"/>
      <c r="AI126" s="302"/>
      <c r="AJ126" s="161"/>
      <c r="AK126" s="173"/>
      <c r="AL126" s="173"/>
      <c r="AM126" s="302"/>
      <c r="AN126" s="302"/>
      <c r="AO126" s="162"/>
      <c r="AP126" s="339"/>
      <c r="AQ126" s="173"/>
      <c r="AR126" s="302"/>
      <c r="AS126" s="302"/>
      <c r="AT126" s="161"/>
      <c r="AU126" s="173"/>
      <c r="AV126" s="173"/>
      <c r="AW126" s="302"/>
      <c r="AX126" s="302"/>
      <c r="AY126" s="162"/>
      <c r="AZ126" s="339"/>
      <c r="BA126" s="173"/>
      <c r="BB126" s="302"/>
      <c r="BC126" s="302"/>
      <c r="BD126" s="161"/>
      <c r="BE126" s="173"/>
      <c r="BF126" s="173"/>
      <c r="BG126" s="302"/>
      <c r="BH126" s="302"/>
      <c r="BI126" s="162"/>
      <c r="BJ126" s="339"/>
      <c r="BK126" s="173"/>
      <c r="BL126" s="302"/>
      <c r="BM126" s="302"/>
      <c r="BN126" s="161"/>
      <c r="BO126" s="339"/>
      <c r="BP126" s="173"/>
      <c r="BQ126" s="302"/>
      <c r="BR126" s="176"/>
      <c r="BS126" s="110"/>
      <c r="BT126" s="155"/>
      <c r="BU126" s="156" t="s">
        <v>367</v>
      </c>
      <c r="BV126" s="66"/>
      <c r="BW126" s="66"/>
      <c r="BX126" s="85"/>
      <c r="BY126" s="85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</row>
    <row r="127" spans="2:131" ht="58.5" customHeight="1">
      <c r="B127" s="170" t="s">
        <v>582</v>
      </c>
      <c r="C127" s="153" t="s">
        <v>479</v>
      </c>
      <c r="D127" s="171"/>
      <c r="E127" s="195" t="s">
        <v>182</v>
      </c>
      <c r="F127" s="334" t="s">
        <v>104</v>
      </c>
      <c r="G127" s="340" t="s">
        <v>142</v>
      </c>
      <c r="H127" s="336">
        <f>SUM(N127,S127,X127,AC127,AH127,AM127,AR127,AW127,BB127,BG127,BL127,BQ127)</f>
        <v>0</v>
      </c>
      <c r="I127" s="335"/>
      <c r="J127" s="335" t="s">
        <v>142</v>
      </c>
      <c r="K127" s="337"/>
      <c r="L127" s="334"/>
      <c r="M127" s="335"/>
      <c r="N127" s="338"/>
      <c r="O127" s="341"/>
      <c r="P127" s="109"/>
      <c r="Q127" s="335" t="s">
        <v>104</v>
      </c>
      <c r="R127" s="335" t="s">
        <v>142</v>
      </c>
      <c r="S127" s="176"/>
      <c r="T127" s="338" t="s">
        <v>142</v>
      </c>
      <c r="U127" s="110"/>
      <c r="V127" s="112">
        <f>W127*1.6</f>
        <v>0</v>
      </c>
      <c r="W127" s="174">
        <f>SUM(X127:Y127)</f>
        <v>0</v>
      </c>
      <c r="X127" s="176"/>
      <c r="Y127" s="176"/>
      <c r="Z127" s="109">
        <f>V127/36</f>
        <v>0</v>
      </c>
      <c r="AA127" s="174"/>
      <c r="AB127" s="174"/>
      <c r="AC127" s="176"/>
      <c r="AD127" s="176"/>
      <c r="AE127" s="110"/>
      <c r="AF127" s="177"/>
      <c r="AG127" s="174"/>
      <c r="AH127" s="176"/>
      <c r="AI127" s="176"/>
      <c r="AJ127" s="109"/>
      <c r="AK127" s="174"/>
      <c r="AL127" s="174"/>
      <c r="AM127" s="176"/>
      <c r="AN127" s="176"/>
      <c r="AO127" s="110"/>
      <c r="AP127" s="177"/>
      <c r="AQ127" s="174"/>
      <c r="AR127" s="176"/>
      <c r="AS127" s="176"/>
      <c r="AT127" s="109"/>
      <c r="AU127" s="174"/>
      <c r="AV127" s="174"/>
      <c r="AW127" s="176"/>
      <c r="AX127" s="176"/>
      <c r="AY127" s="110"/>
      <c r="AZ127" s="177"/>
      <c r="BA127" s="174"/>
      <c r="BB127" s="176"/>
      <c r="BC127" s="176"/>
      <c r="BD127" s="109"/>
      <c r="BE127" s="174"/>
      <c r="BF127" s="174"/>
      <c r="BG127" s="176"/>
      <c r="BH127" s="176"/>
      <c r="BI127" s="110"/>
      <c r="BJ127" s="177"/>
      <c r="BK127" s="174"/>
      <c r="BL127" s="176"/>
      <c r="BM127" s="176"/>
      <c r="BN127" s="109"/>
      <c r="BO127" s="177"/>
      <c r="BP127" s="174"/>
      <c r="BQ127" s="176"/>
      <c r="BR127" s="176"/>
      <c r="BS127" s="110"/>
      <c r="BT127" s="155">
        <f>SUM(P127,U127,Z127,AE127,AJ127,AO127,AT127,AY127,BD127,BI127,BN127,BS127)</f>
        <v>0</v>
      </c>
      <c r="BU127" s="156" t="s">
        <v>348</v>
      </c>
      <c r="BV127" s="66"/>
      <c r="BW127" s="66"/>
      <c r="BX127" s="85"/>
      <c r="BY127" s="85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</row>
    <row r="128" spans="2:131" ht="45.75" customHeight="1">
      <c r="B128" s="260" t="s">
        <v>583</v>
      </c>
      <c r="C128" s="153" t="s">
        <v>540</v>
      </c>
      <c r="D128" s="171" t="s">
        <v>213</v>
      </c>
      <c r="E128" s="195" t="s">
        <v>108</v>
      </c>
      <c r="F128" s="334" t="s">
        <v>109</v>
      </c>
      <c r="G128" s="340" t="s">
        <v>110</v>
      </c>
      <c r="H128" s="336" t="s">
        <v>111</v>
      </c>
      <c r="I128" s="342"/>
      <c r="J128" s="335" t="s">
        <v>112</v>
      </c>
      <c r="K128" s="175"/>
      <c r="L128" s="172"/>
      <c r="M128" s="174"/>
      <c r="N128" s="176"/>
      <c r="O128" s="176"/>
      <c r="P128" s="109"/>
      <c r="Q128" s="174"/>
      <c r="R128" s="174"/>
      <c r="S128" s="176"/>
      <c r="T128" s="176"/>
      <c r="U128" s="110"/>
      <c r="V128" s="343" t="s">
        <v>99</v>
      </c>
      <c r="W128" s="335" t="s">
        <v>113</v>
      </c>
      <c r="X128" s="176" t="s">
        <v>176</v>
      </c>
      <c r="Y128" s="176" t="s">
        <v>116</v>
      </c>
      <c r="Z128" s="109"/>
      <c r="AA128" s="344" t="s">
        <v>99</v>
      </c>
      <c r="AB128" s="335" t="s">
        <v>113</v>
      </c>
      <c r="AC128" s="176" t="s">
        <v>176</v>
      </c>
      <c r="AD128" s="176" t="s">
        <v>116</v>
      </c>
      <c r="AE128" s="110"/>
      <c r="AF128" s="343" t="s">
        <v>111</v>
      </c>
      <c r="AG128" s="335" t="s">
        <v>114</v>
      </c>
      <c r="AH128" s="176" t="s">
        <v>176</v>
      </c>
      <c r="AI128" s="176" t="s">
        <v>177</v>
      </c>
      <c r="AJ128" s="109"/>
      <c r="AK128" s="345" t="s">
        <v>115</v>
      </c>
      <c r="AL128" s="335" t="s">
        <v>116</v>
      </c>
      <c r="AM128" s="176" t="s">
        <v>178</v>
      </c>
      <c r="AN128" s="176" t="s">
        <v>176</v>
      </c>
      <c r="AO128" s="110"/>
      <c r="AP128" s="177"/>
      <c r="AQ128" s="174"/>
      <c r="AR128" s="176"/>
      <c r="AS128" s="176"/>
      <c r="AT128" s="109"/>
      <c r="AU128" s="174"/>
      <c r="AV128" s="174"/>
      <c r="AW128" s="176"/>
      <c r="AX128" s="176"/>
      <c r="AY128" s="110"/>
      <c r="AZ128" s="177"/>
      <c r="BA128" s="174"/>
      <c r="BB128" s="176"/>
      <c r="BC128" s="176"/>
      <c r="BD128" s="109"/>
      <c r="BE128" s="174"/>
      <c r="BF128" s="174"/>
      <c r="BG128" s="176"/>
      <c r="BH128" s="176"/>
      <c r="BI128" s="110"/>
      <c r="BJ128" s="177"/>
      <c r="BK128" s="174"/>
      <c r="BL128" s="176"/>
      <c r="BM128" s="176"/>
      <c r="BN128" s="109"/>
      <c r="BO128" s="174"/>
      <c r="BP128" s="174"/>
      <c r="BQ128" s="176"/>
      <c r="BR128" s="176"/>
      <c r="BS128" s="110"/>
      <c r="BT128" s="155"/>
      <c r="BU128" s="156" t="s">
        <v>449</v>
      </c>
      <c r="BV128" s="66"/>
      <c r="BW128" s="66"/>
      <c r="BX128" s="85"/>
      <c r="BY128" s="85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</row>
    <row r="129" spans="2:131" ht="20.25">
      <c r="B129" s="385" t="s">
        <v>584</v>
      </c>
      <c r="C129" s="153" t="s">
        <v>96</v>
      </c>
      <c r="D129" s="171"/>
      <c r="E129" s="379" t="s">
        <v>612</v>
      </c>
      <c r="F129" s="335" t="s">
        <v>478</v>
      </c>
      <c r="G129" s="340" t="s">
        <v>478</v>
      </c>
      <c r="H129" s="336" t="s">
        <v>182</v>
      </c>
      <c r="I129" s="174"/>
      <c r="J129" s="335" t="s">
        <v>478</v>
      </c>
      <c r="K129" s="175"/>
      <c r="L129" s="335" t="s">
        <v>97</v>
      </c>
      <c r="M129" s="335" t="s">
        <v>97</v>
      </c>
      <c r="N129" s="176"/>
      <c r="O129" s="176" t="s">
        <v>97</v>
      </c>
      <c r="P129" s="109"/>
      <c r="Q129" s="335" t="s">
        <v>98</v>
      </c>
      <c r="R129" s="335" t="s">
        <v>98</v>
      </c>
      <c r="S129" s="176"/>
      <c r="T129" s="338" t="s">
        <v>98</v>
      </c>
      <c r="U129" s="109"/>
      <c r="V129" s="335" t="s">
        <v>99</v>
      </c>
      <c r="W129" s="335" t="s">
        <v>99</v>
      </c>
      <c r="X129" s="176"/>
      <c r="Y129" s="176" t="s">
        <v>99</v>
      </c>
      <c r="Z129" s="109"/>
      <c r="AA129" s="335" t="s">
        <v>98</v>
      </c>
      <c r="AB129" s="335" t="s">
        <v>98</v>
      </c>
      <c r="AC129" s="176"/>
      <c r="AD129" s="176" t="s">
        <v>98</v>
      </c>
      <c r="AE129" s="109"/>
      <c r="AF129" s="171" t="s">
        <v>175</v>
      </c>
      <c r="AG129" s="335" t="s">
        <v>175</v>
      </c>
      <c r="AH129" s="176"/>
      <c r="AI129" s="176" t="s">
        <v>135</v>
      </c>
      <c r="AJ129" s="109"/>
      <c r="AK129" s="335" t="s">
        <v>142</v>
      </c>
      <c r="AL129" s="335" t="s">
        <v>142</v>
      </c>
      <c r="AM129" s="176"/>
      <c r="AN129" s="338" t="s">
        <v>136</v>
      </c>
      <c r="AO129" s="110"/>
      <c r="AP129" s="335" t="s">
        <v>135</v>
      </c>
      <c r="AQ129" s="335" t="s">
        <v>135</v>
      </c>
      <c r="AR129" s="176"/>
      <c r="AS129" s="176" t="s">
        <v>136</v>
      </c>
      <c r="AT129" s="109"/>
      <c r="AU129" s="335" t="s">
        <v>142</v>
      </c>
      <c r="AV129" s="335" t="s">
        <v>142</v>
      </c>
      <c r="AW129" s="176"/>
      <c r="AX129" s="176" t="s">
        <v>136</v>
      </c>
      <c r="AY129" s="110"/>
      <c r="AZ129" s="335" t="s">
        <v>175</v>
      </c>
      <c r="BA129" s="335" t="s">
        <v>175</v>
      </c>
      <c r="BB129" s="176"/>
      <c r="BC129" s="176"/>
      <c r="BD129" s="109"/>
      <c r="BE129" s="335" t="s">
        <v>136</v>
      </c>
      <c r="BF129" s="335" t="s">
        <v>136</v>
      </c>
      <c r="BG129" s="176"/>
      <c r="BH129" s="176"/>
      <c r="BI129" s="110"/>
      <c r="BJ129" s="174"/>
      <c r="BK129" s="174"/>
      <c r="BL129" s="176"/>
      <c r="BM129" s="176"/>
      <c r="BN129" s="109"/>
      <c r="BO129" s="174"/>
      <c r="BP129" s="174"/>
      <c r="BQ129" s="176"/>
      <c r="BR129" s="176"/>
      <c r="BS129" s="110"/>
      <c r="BT129" s="155"/>
      <c r="BU129" s="156" t="s">
        <v>642</v>
      </c>
      <c r="BV129" s="66"/>
      <c r="BW129" s="66"/>
      <c r="BX129" s="85"/>
      <c r="BY129" s="85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</row>
    <row r="130" spans="2:131" ht="65.25" customHeight="1">
      <c r="B130" s="385" t="s">
        <v>613</v>
      </c>
      <c r="C130" s="274" t="s">
        <v>661</v>
      </c>
      <c r="D130" s="381"/>
      <c r="E130" s="386" t="s">
        <v>636</v>
      </c>
      <c r="F130" s="381" t="s">
        <v>98</v>
      </c>
      <c r="G130" s="380" t="s">
        <v>113</v>
      </c>
      <c r="H130" s="381" t="s">
        <v>626</v>
      </c>
      <c r="I130" s="382"/>
      <c r="J130" s="382" t="s">
        <v>620</v>
      </c>
      <c r="K130" s="386"/>
      <c r="L130" s="382"/>
      <c r="M130" s="382"/>
      <c r="N130" s="387"/>
      <c r="O130" s="387"/>
      <c r="P130" s="384"/>
      <c r="Q130" s="382"/>
      <c r="R130" s="382"/>
      <c r="S130" s="387"/>
      <c r="T130" s="387"/>
      <c r="U130" s="388"/>
      <c r="V130" s="383"/>
      <c r="W130" s="382"/>
      <c r="X130" s="387"/>
      <c r="Y130" s="387"/>
      <c r="Z130" s="384"/>
      <c r="AA130" s="382"/>
      <c r="AB130" s="382"/>
      <c r="AC130" s="387"/>
      <c r="AD130" s="387"/>
      <c r="AE130" s="388"/>
      <c r="AF130" s="383"/>
      <c r="AG130" s="382"/>
      <c r="AH130" s="387"/>
      <c r="AI130" s="387"/>
      <c r="AJ130" s="384"/>
      <c r="AK130" s="382"/>
      <c r="AL130" s="382"/>
      <c r="AM130" s="387"/>
      <c r="AN130" s="387"/>
      <c r="AO130" s="388"/>
      <c r="AP130" s="383"/>
      <c r="AQ130" s="382"/>
      <c r="AR130" s="387"/>
      <c r="AS130" s="387"/>
      <c r="AT130" s="384"/>
      <c r="AU130" s="382"/>
      <c r="AV130" s="382"/>
      <c r="AW130" s="387"/>
      <c r="AX130" s="387"/>
      <c r="AY130" s="388"/>
      <c r="AZ130" s="389" t="s">
        <v>175</v>
      </c>
      <c r="BA130" s="389" t="s">
        <v>626</v>
      </c>
      <c r="BB130" s="387" t="s">
        <v>621</v>
      </c>
      <c r="BC130" s="387" t="s">
        <v>178</v>
      </c>
      <c r="BD130" s="384"/>
      <c r="BE130" s="389" t="s">
        <v>175</v>
      </c>
      <c r="BF130" s="389" t="s">
        <v>620</v>
      </c>
      <c r="BG130" s="387" t="s">
        <v>178</v>
      </c>
      <c r="BH130" s="387" t="s">
        <v>627</v>
      </c>
      <c r="BI130" s="388" t="s">
        <v>182</v>
      </c>
      <c r="BJ130" s="383"/>
      <c r="BK130" s="382"/>
      <c r="BL130" s="387"/>
      <c r="BM130" s="387"/>
      <c r="BN130" s="384"/>
      <c r="BO130" s="382"/>
      <c r="BP130" s="382"/>
      <c r="BQ130" s="387"/>
      <c r="BR130" s="387"/>
      <c r="BS130" s="388"/>
      <c r="BT130" s="390">
        <f>SUM(P130,U130,Z130,AE130,AJ130,AO130,AT130,AY130,BD130,BI130,BN130,BS130)</f>
        <v>0</v>
      </c>
      <c r="BU130" s="391" t="s">
        <v>637</v>
      </c>
      <c r="BV130" s="66"/>
      <c r="BW130" s="66"/>
      <c r="BX130" s="85"/>
      <c r="BY130" s="85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</row>
    <row r="131" spans="2:131" ht="42.75" customHeight="1">
      <c r="B131" s="385" t="s">
        <v>614</v>
      </c>
      <c r="C131" s="274" t="s">
        <v>662</v>
      </c>
      <c r="D131" s="381" t="s">
        <v>617</v>
      </c>
      <c r="E131" s="386"/>
      <c r="F131" s="381" t="s">
        <v>618</v>
      </c>
      <c r="G131" s="380" t="s">
        <v>98</v>
      </c>
      <c r="H131" s="381" t="s">
        <v>619</v>
      </c>
      <c r="I131" s="382"/>
      <c r="J131" s="382"/>
      <c r="K131" s="386" t="s">
        <v>136</v>
      </c>
      <c r="L131" s="382"/>
      <c r="M131" s="382"/>
      <c r="N131" s="387"/>
      <c r="O131" s="387"/>
      <c r="P131" s="384"/>
      <c r="Q131" s="382"/>
      <c r="R131" s="382"/>
      <c r="S131" s="387"/>
      <c r="T131" s="387"/>
      <c r="U131" s="388"/>
      <c r="V131" s="383"/>
      <c r="W131" s="382"/>
      <c r="X131" s="387"/>
      <c r="Y131" s="387"/>
      <c r="Z131" s="384"/>
      <c r="AA131" s="382"/>
      <c r="AB131" s="382"/>
      <c r="AC131" s="387"/>
      <c r="AD131" s="387"/>
      <c r="AE131" s="388"/>
      <c r="AF131" s="383"/>
      <c r="AG131" s="382"/>
      <c r="AH131" s="387"/>
      <c r="AI131" s="387"/>
      <c r="AJ131" s="384"/>
      <c r="AK131" s="382"/>
      <c r="AL131" s="382"/>
      <c r="AM131" s="387"/>
      <c r="AN131" s="387"/>
      <c r="AO131" s="388"/>
      <c r="AP131" s="383"/>
      <c r="AQ131" s="382"/>
      <c r="AR131" s="387"/>
      <c r="AS131" s="387"/>
      <c r="AT131" s="384"/>
      <c r="AU131" s="382"/>
      <c r="AV131" s="382"/>
      <c r="AW131" s="387"/>
      <c r="AX131" s="387"/>
      <c r="AY131" s="388"/>
      <c r="AZ131" s="389"/>
      <c r="BA131" s="389"/>
      <c r="BB131" s="387"/>
      <c r="BC131" s="387"/>
      <c r="BD131" s="384"/>
      <c r="BE131" s="389"/>
      <c r="BF131" s="389"/>
      <c r="BG131" s="387"/>
      <c r="BH131" s="387"/>
      <c r="BI131" s="388"/>
      <c r="BJ131" s="383" t="s">
        <v>104</v>
      </c>
      <c r="BK131" s="382" t="s">
        <v>619</v>
      </c>
      <c r="BL131" s="387" t="s">
        <v>620</v>
      </c>
      <c r="BM131" s="387" t="s">
        <v>621</v>
      </c>
      <c r="BN131" s="384"/>
      <c r="BO131" s="382" t="s">
        <v>174</v>
      </c>
      <c r="BP131" s="382" t="s">
        <v>136</v>
      </c>
      <c r="BQ131" s="387" t="s">
        <v>621</v>
      </c>
      <c r="BR131" s="387" t="s">
        <v>621</v>
      </c>
      <c r="BS131" s="388" t="s">
        <v>173</v>
      </c>
      <c r="BT131" s="390">
        <f>SUM(P131,U131,Z131,AE131,AJ131,AO131,AT131,AY131,BD131,BI131,BN131,BS131)</f>
        <v>0</v>
      </c>
      <c r="BU131" s="391" t="s">
        <v>638</v>
      </c>
      <c r="BV131" s="66"/>
      <c r="BW131" s="66"/>
      <c r="BX131" s="85"/>
      <c r="BY131" s="85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</row>
    <row r="132" spans="2:131" ht="25.5" customHeight="1" thickBot="1">
      <c r="B132" s="385" t="s">
        <v>615</v>
      </c>
      <c r="C132" s="274" t="s">
        <v>663</v>
      </c>
      <c r="D132" s="381" t="s">
        <v>617</v>
      </c>
      <c r="E132" s="386"/>
      <c r="F132" s="381" t="s">
        <v>622</v>
      </c>
      <c r="G132" s="380" t="s">
        <v>623</v>
      </c>
      <c r="H132" s="381"/>
      <c r="I132" s="382"/>
      <c r="J132" s="382" t="s">
        <v>623</v>
      </c>
      <c r="K132" s="386"/>
      <c r="L132" s="382"/>
      <c r="M132" s="382"/>
      <c r="N132" s="387"/>
      <c r="O132" s="387"/>
      <c r="P132" s="384"/>
      <c r="Q132" s="382"/>
      <c r="R132" s="382"/>
      <c r="S132" s="387"/>
      <c r="T132" s="387"/>
      <c r="U132" s="388"/>
      <c r="V132" s="383"/>
      <c r="W132" s="382"/>
      <c r="X132" s="387"/>
      <c r="Y132" s="387"/>
      <c r="Z132" s="384"/>
      <c r="AA132" s="382"/>
      <c r="AB132" s="382"/>
      <c r="AC132" s="387"/>
      <c r="AD132" s="387"/>
      <c r="AE132" s="388"/>
      <c r="AF132" s="383"/>
      <c r="AG132" s="382"/>
      <c r="AH132" s="387"/>
      <c r="AI132" s="387"/>
      <c r="AJ132" s="384"/>
      <c r="AK132" s="382"/>
      <c r="AL132" s="382"/>
      <c r="AM132" s="387"/>
      <c r="AN132" s="387"/>
      <c r="AO132" s="388"/>
      <c r="AP132" s="383"/>
      <c r="AQ132" s="382"/>
      <c r="AR132" s="387"/>
      <c r="AS132" s="387"/>
      <c r="AT132" s="384"/>
      <c r="AU132" s="382"/>
      <c r="AV132" s="382"/>
      <c r="AW132" s="387"/>
      <c r="AX132" s="387"/>
      <c r="AY132" s="388"/>
      <c r="AZ132" s="389"/>
      <c r="BA132" s="389"/>
      <c r="BB132" s="387"/>
      <c r="BC132" s="387"/>
      <c r="BD132" s="384"/>
      <c r="BE132" s="389"/>
      <c r="BF132" s="389"/>
      <c r="BG132" s="387"/>
      <c r="BH132" s="387"/>
      <c r="BI132" s="388"/>
      <c r="BJ132" s="383" t="s">
        <v>111</v>
      </c>
      <c r="BK132" s="382" t="s">
        <v>115</v>
      </c>
      <c r="BL132" s="387"/>
      <c r="BM132" s="387" t="s">
        <v>115</v>
      </c>
      <c r="BN132" s="384"/>
      <c r="BO132" s="382" t="s">
        <v>98</v>
      </c>
      <c r="BP132" s="382" t="s">
        <v>115</v>
      </c>
      <c r="BQ132" s="387"/>
      <c r="BR132" s="387" t="s">
        <v>115</v>
      </c>
      <c r="BS132" s="388" t="s">
        <v>624</v>
      </c>
      <c r="BT132" s="390">
        <f>SUM(P132,U132,Z132,AE132,AJ132,AO132,AT132,AY132,BD132,BI132,BN132,BS132)</f>
        <v>0</v>
      </c>
      <c r="BU132" s="391" t="s">
        <v>639</v>
      </c>
      <c r="BV132" s="66"/>
      <c r="BW132" s="66"/>
      <c r="BX132" s="85"/>
      <c r="BY132" s="85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</row>
    <row r="133" spans="2:131" s="59" customFormat="1" ht="36.75" customHeight="1">
      <c r="B133" s="531" t="s">
        <v>83</v>
      </c>
      <c r="C133" s="532"/>
      <c r="D133" s="392"/>
      <c r="E133" s="393"/>
      <c r="F133" s="394">
        <f aca="true" t="shared" si="70" ref="F133:AK133">SUM(F10,F49)</f>
        <v>12116</v>
      </c>
      <c r="G133" s="395">
        <f t="shared" si="70"/>
        <v>6268</v>
      </c>
      <c r="H133" s="396">
        <f t="shared" si="70"/>
        <v>1194</v>
      </c>
      <c r="I133" s="397">
        <f t="shared" si="70"/>
        <v>839</v>
      </c>
      <c r="J133" s="397">
        <f t="shared" si="70"/>
        <v>4055</v>
      </c>
      <c r="K133" s="395">
        <f t="shared" si="70"/>
        <v>180</v>
      </c>
      <c r="L133" s="396">
        <f t="shared" si="70"/>
        <v>1056</v>
      </c>
      <c r="M133" s="397">
        <f t="shared" si="70"/>
        <v>565</v>
      </c>
      <c r="N133" s="397">
        <f t="shared" si="70"/>
        <v>128</v>
      </c>
      <c r="O133" s="397">
        <f t="shared" si="70"/>
        <v>437</v>
      </c>
      <c r="P133" s="397">
        <f t="shared" si="70"/>
        <v>29</v>
      </c>
      <c r="Q133" s="397">
        <f t="shared" si="70"/>
        <v>1053</v>
      </c>
      <c r="R133" s="397">
        <f t="shared" si="70"/>
        <v>515</v>
      </c>
      <c r="S133" s="397">
        <f t="shared" si="70"/>
        <v>120</v>
      </c>
      <c r="T133" s="397">
        <f t="shared" si="70"/>
        <v>395</v>
      </c>
      <c r="U133" s="395">
        <f t="shared" si="70"/>
        <v>29</v>
      </c>
      <c r="V133" s="398">
        <f t="shared" si="70"/>
        <v>966</v>
      </c>
      <c r="W133" s="399">
        <f t="shared" si="70"/>
        <v>524</v>
      </c>
      <c r="X133" s="399">
        <f t="shared" si="70"/>
        <v>112</v>
      </c>
      <c r="Y133" s="399">
        <f t="shared" si="70"/>
        <v>412</v>
      </c>
      <c r="Z133" s="399">
        <f t="shared" si="70"/>
        <v>27</v>
      </c>
      <c r="AA133" s="397">
        <f t="shared" si="70"/>
        <v>1080</v>
      </c>
      <c r="AB133" s="397">
        <f t="shared" si="70"/>
        <v>533</v>
      </c>
      <c r="AC133" s="397">
        <f t="shared" si="70"/>
        <v>118</v>
      </c>
      <c r="AD133" s="397">
        <f t="shared" si="70"/>
        <v>415</v>
      </c>
      <c r="AE133" s="395">
        <f t="shared" si="70"/>
        <v>30</v>
      </c>
      <c r="AF133" s="400">
        <f t="shared" si="70"/>
        <v>1048</v>
      </c>
      <c r="AG133" s="397">
        <f t="shared" si="70"/>
        <v>549</v>
      </c>
      <c r="AH133" s="397">
        <f t="shared" si="70"/>
        <v>104</v>
      </c>
      <c r="AI133" s="397">
        <f t="shared" si="70"/>
        <v>445</v>
      </c>
      <c r="AJ133" s="397">
        <f t="shared" si="70"/>
        <v>27</v>
      </c>
      <c r="AK133" s="397">
        <f t="shared" si="70"/>
        <v>1015</v>
      </c>
      <c r="AL133" s="397">
        <f aca="true" t="shared" si="71" ref="AL133:BT133">SUM(AL10,AL49)</f>
        <v>500</v>
      </c>
      <c r="AM133" s="397">
        <f t="shared" si="71"/>
        <v>108</v>
      </c>
      <c r="AN133" s="397">
        <f t="shared" si="71"/>
        <v>392</v>
      </c>
      <c r="AO133" s="395">
        <f t="shared" si="71"/>
        <v>27</v>
      </c>
      <c r="AP133" s="400">
        <f t="shared" si="71"/>
        <v>1080</v>
      </c>
      <c r="AQ133" s="397">
        <f t="shared" si="71"/>
        <v>600</v>
      </c>
      <c r="AR133" s="397">
        <f t="shared" si="71"/>
        <v>102</v>
      </c>
      <c r="AS133" s="397">
        <f t="shared" si="71"/>
        <v>498</v>
      </c>
      <c r="AT133" s="397">
        <f t="shared" si="71"/>
        <v>25</v>
      </c>
      <c r="AU133" s="397">
        <f t="shared" si="71"/>
        <v>1025</v>
      </c>
      <c r="AV133" s="397">
        <f t="shared" si="71"/>
        <v>554</v>
      </c>
      <c r="AW133" s="397">
        <f t="shared" si="71"/>
        <v>108</v>
      </c>
      <c r="AX133" s="397">
        <f t="shared" si="71"/>
        <v>446</v>
      </c>
      <c r="AY133" s="395">
        <f t="shared" si="71"/>
        <v>29</v>
      </c>
      <c r="AZ133" s="400">
        <f t="shared" si="71"/>
        <v>1040</v>
      </c>
      <c r="BA133" s="397">
        <f t="shared" si="71"/>
        <v>537</v>
      </c>
      <c r="BB133" s="397">
        <f t="shared" si="71"/>
        <v>92</v>
      </c>
      <c r="BC133" s="397">
        <f t="shared" si="71"/>
        <v>445</v>
      </c>
      <c r="BD133" s="397">
        <f t="shared" si="71"/>
        <v>24</v>
      </c>
      <c r="BE133" s="397">
        <f t="shared" si="71"/>
        <v>920</v>
      </c>
      <c r="BF133" s="397">
        <f t="shared" si="71"/>
        <v>462</v>
      </c>
      <c r="BG133" s="397">
        <f t="shared" si="71"/>
        <v>62</v>
      </c>
      <c r="BH133" s="397">
        <f t="shared" si="71"/>
        <v>330</v>
      </c>
      <c r="BI133" s="395">
        <f t="shared" si="71"/>
        <v>27</v>
      </c>
      <c r="BJ133" s="400">
        <f t="shared" si="71"/>
        <v>954</v>
      </c>
      <c r="BK133" s="397">
        <f t="shared" si="71"/>
        <v>492</v>
      </c>
      <c r="BL133" s="397">
        <f t="shared" si="71"/>
        <v>56</v>
      </c>
      <c r="BM133" s="397">
        <f t="shared" si="71"/>
        <v>324</v>
      </c>
      <c r="BN133" s="397">
        <f t="shared" si="71"/>
        <v>27</v>
      </c>
      <c r="BO133" s="397">
        <f t="shared" si="71"/>
        <v>879</v>
      </c>
      <c r="BP133" s="397">
        <f t="shared" si="71"/>
        <v>437</v>
      </c>
      <c r="BQ133" s="397">
        <f t="shared" si="71"/>
        <v>50</v>
      </c>
      <c r="BR133" s="397">
        <f t="shared" si="71"/>
        <v>277</v>
      </c>
      <c r="BS133" s="395">
        <f t="shared" si="71"/>
        <v>27</v>
      </c>
      <c r="BT133" s="401">
        <f t="shared" si="71"/>
        <v>326</v>
      </c>
      <c r="BU133" s="402"/>
      <c r="BV133" s="71"/>
      <c r="BW133" s="71"/>
      <c r="BX133" s="85"/>
      <c r="BY133" s="85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</row>
    <row r="134" spans="2:131" s="59" customFormat="1" ht="26.25" customHeight="1">
      <c r="B134" s="524" t="s">
        <v>327</v>
      </c>
      <c r="C134" s="525"/>
      <c r="D134" s="171"/>
      <c r="E134" s="195"/>
      <c r="F134" s="172">
        <v>2</v>
      </c>
      <c r="G134" s="196"/>
      <c r="H134" s="172"/>
      <c r="I134" s="174"/>
      <c r="J134" s="174"/>
      <c r="K134" s="175"/>
      <c r="L134" s="512"/>
      <c r="M134" s="512"/>
      <c r="N134" s="512"/>
      <c r="O134" s="512"/>
      <c r="P134" s="513"/>
      <c r="Q134" s="512"/>
      <c r="R134" s="512"/>
      <c r="S134" s="512"/>
      <c r="T134" s="512"/>
      <c r="U134" s="513"/>
      <c r="V134" s="512"/>
      <c r="W134" s="512"/>
      <c r="X134" s="512"/>
      <c r="Y134" s="512"/>
      <c r="Z134" s="513"/>
      <c r="AA134" s="512"/>
      <c r="AB134" s="512"/>
      <c r="AC134" s="512"/>
      <c r="AD134" s="512"/>
      <c r="AE134" s="513"/>
      <c r="AF134" s="512"/>
      <c r="AG134" s="512"/>
      <c r="AH134" s="512"/>
      <c r="AI134" s="512"/>
      <c r="AJ134" s="513"/>
      <c r="AK134" s="512"/>
      <c r="AL134" s="512"/>
      <c r="AM134" s="512"/>
      <c r="AN134" s="512"/>
      <c r="AO134" s="513"/>
      <c r="AP134" s="512">
        <v>1</v>
      </c>
      <c r="AQ134" s="512"/>
      <c r="AR134" s="512"/>
      <c r="AS134" s="512"/>
      <c r="AT134" s="513"/>
      <c r="AU134" s="512"/>
      <c r="AV134" s="512"/>
      <c r="AW134" s="512"/>
      <c r="AX134" s="512"/>
      <c r="AY134" s="513"/>
      <c r="AZ134" s="512"/>
      <c r="BA134" s="512"/>
      <c r="BB134" s="512"/>
      <c r="BC134" s="512"/>
      <c r="BD134" s="513"/>
      <c r="BE134" s="512">
        <v>1</v>
      </c>
      <c r="BF134" s="512"/>
      <c r="BG134" s="512"/>
      <c r="BH134" s="512"/>
      <c r="BI134" s="513"/>
      <c r="BJ134" s="512"/>
      <c r="BK134" s="512"/>
      <c r="BL134" s="512"/>
      <c r="BM134" s="512"/>
      <c r="BN134" s="513"/>
      <c r="BO134" s="512"/>
      <c r="BP134" s="512"/>
      <c r="BQ134" s="512"/>
      <c r="BR134" s="512"/>
      <c r="BS134" s="513"/>
      <c r="BT134" s="350"/>
      <c r="BU134" s="351"/>
      <c r="BV134" s="71"/>
      <c r="BW134" s="71"/>
      <c r="BX134" s="85"/>
      <c r="BY134" s="85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</row>
    <row r="135" spans="2:131" ht="39" customHeight="1">
      <c r="B135" s="524" t="s">
        <v>84</v>
      </c>
      <c r="C135" s="525"/>
      <c r="D135" s="171"/>
      <c r="E135" s="195"/>
      <c r="F135" s="172"/>
      <c r="G135" s="196"/>
      <c r="H135" s="172"/>
      <c r="I135" s="174"/>
      <c r="J135" s="174"/>
      <c r="K135" s="175"/>
      <c r="L135" s="514">
        <f>M133/L8</f>
        <v>28.25</v>
      </c>
      <c r="M135" s="512"/>
      <c r="N135" s="512"/>
      <c r="O135" s="512"/>
      <c r="P135" s="513"/>
      <c r="Q135" s="512">
        <f>R133/Q8</f>
        <v>28.61111111111111</v>
      </c>
      <c r="R135" s="512"/>
      <c r="S135" s="512"/>
      <c r="T135" s="512"/>
      <c r="U135" s="513"/>
      <c r="V135" s="514">
        <f>W133/V8</f>
        <v>27.57894736842105</v>
      </c>
      <c r="W135" s="512"/>
      <c r="X135" s="512"/>
      <c r="Y135" s="512"/>
      <c r="Z135" s="513"/>
      <c r="AA135" s="512">
        <f>AB133/(AA8)</f>
        <v>29.61111111111111</v>
      </c>
      <c r="AB135" s="512"/>
      <c r="AC135" s="512"/>
      <c r="AD135" s="512"/>
      <c r="AE135" s="513"/>
      <c r="AF135" s="514">
        <f>AG133/AF8</f>
        <v>30.5</v>
      </c>
      <c r="AG135" s="512"/>
      <c r="AH135" s="512"/>
      <c r="AI135" s="512"/>
      <c r="AJ135" s="513"/>
      <c r="AK135" s="512">
        <f>AL133/AK8</f>
        <v>29.41176470588235</v>
      </c>
      <c r="AL135" s="512"/>
      <c r="AM135" s="512"/>
      <c r="AN135" s="512"/>
      <c r="AO135" s="513"/>
      <c r="AP135" s="514">
        <f>AQ133/AP8</f>
        <v>31.57894736842105</v>
      </c>
      <c r="AQ135" s="512"/>
      <c r="AR135" s="512"/>
      <c r="AS135" s="512"/>
      <c r="AT135" s="513"/>
      <c r="AU135" s="512">
        <f>AV133/AU8</f>
        <v>32.588235294117645</v>
      </c>
      <c r="AV135" s="512"/>
      <c r="AW135" s="512"/>
      <c r="AX135" s="512"/>
      <c r="AY135" s="513"/>
      <c r="AZ135" s="514">
        <f>BA133/AZ8</f>
        <v>29.833333333333332</v>
      </c>
      <c r="BA135" s="512"/>
      <c r="BB135" s="512"/>
      <c r="BC135" s="512"/>
      <c r="BD135" s="513"/>
      <c r="BE135" s="512">
        <f>BF133/BE8</f>
        <v>28.875</v>
      </c>
      <c r="BF135" s="512"/>
      <c r="BG135" s="512"/>
      <c r="BH135" s="512"/>
      <c r="BI135" s="513"/>
      <c r="BJ135" s="514">
        <f>BK133/BJ8</f>
        <v>28.941176470588236</v>
      </c>
      <c r="BK135" s="512"/>
      <c r="BL135" s="512"/>
      <c r="BM135" s="512"/>
      <c r="BN135" s="513"/>
      <c r="BO135" s="512">
        <f>BP133/BO8</f>
        <v>25.705882352941178</v>
      </c>
      <c r="BP135" s="512"/>
      <c r="BQ135" s="512"/>
      <c r="BR135" s="512"/>
      <c r="BS135" s="513"/>
      <c r="BT135" s="350"/>
      <c r="BU135" s="351"/>
      <c r="BV135" s="66"/>
      <c r="BW135" s="66"/>
      <c r="BX135" s="85"/>
      <c r="BY135" s="85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</row>
    <row r="136" spans="2:131" ht="42.75" customHeight="1" hidden="1" outlineLevel="1">
      <c r="B136" s="524" t="s">
        <v>87</v>
      </c>
      <c r="C136" s="525"/>
      <c r="D136" s="171"/>
      <c r="E136" s="195"/>
      <c r="F136" s="172"/>
      <c r="G136" s="196"/>
      <c r="H136" s="172"/>
      <c r="I136" s="174"/>
      <c r="J136" s="174"/>
      <c r="K136" s="175"/>
      <c r="L136" s="517">
        <f>L133/SUM(L8+2)</f>
        <v>48</v>
      </c>
      <c r="M136" s="518"/>
      <c r="N136" s="518"/>
      <c r="O136" s="518"/>
      <c r="P136" s="519"/>
      <c r="Q136" s="518">
        <f>Q133/SUM(Q8+2)</f>
        <v>52.65</v>
      </c>
      <c r="R136" s="518"/>
      <c r="S136" s="518"/>
      <c r="T136" s="518"/>
      <c r="U136" s="519"/>
      <c r="V136" s="517">
        <f>SUM(V133)/SUM(V8+2)</f>
        <v>46</v>
      </c>
      <c r="W136" s="518"/>
      <c r="X136" s="518"/>
      <c r="Y136" s="518"/>
      <c r="Z136" s="519"/>
      <c r="AA136" s="517">
        <f>SUM(AA133)/SUM(AA8+3)</f>
        <v>51.42857142857143</v>
      </c>
      <c r="AB136" s="518"/>
      <c r="AC136" s="518"/>
      <c r="AD136" s="518"/>
      <c r="AE136" s="519"/>
      <c r="AF136" s="517">
        <f>SUM(AF133)/SUM(AF8+3)</f>
        <v>49.904761904761905</v>
      </c>
      <c r="AG136" s="518"/>
      <c r="AH136" s="518"/>
      <c r="AI136" s="518"/>
      <c r="AJ136" s="519"/>
      <c r="AK136" s="518">
        <f>AK133/SUM(AK8+3)</f>
        <v>50.75</v>
      </c>
      <c r="AL136" s="518"/>
      <c r="AM136" s="518"/>
      <c r="AN136" s="518"/>
      <c r="AO136" s="519"/>
      <c r="AP136" s="517">
        <f>AP133/SUM(AP8+2)</f>
        <v>51.42857142857143</v>
      </c>
      <c r="AQ136" s="518"/>
      <c r="AR136" s="518"/>
      <c r="AS136" s="518"/>
      <c r="AT136" s="519"/>
      <c r="AU136" s="518">
        <f>AU133/SUM(AU8+3)</f>
        <v>51.25</v>
      </c>
      <c r="AV136" s="518"/>
      <c r="AW136" s="518"/>
      <c r="AX136" s="518"/>
      <c r="AY136" s="519"/>
      <c r="AZ136" s="517">
        <f>AZ133/SUM(AZ8+2)</f>
        <v>52</v>
      </c>
      <c r="BA136" s="518"/>
      <c r="BB136" s="518"/>
      <c r="BC136" s="518"/>
      <c r="BD136" s="519"/>
      <c r="BE136" s="518">
        <f>BE133/SUM(BE8+4)</f>
        <v>46</v>
      </c>
      <c r="BF136" s="518"/>
      <c r="BG136" s="518"/>
      <c r="BH136" s="518"/>
      <c r="BI136" s="519"/>
      <c r="BJ136" s="517">
        <f>BJ133/SUM(BJ8+1)</f>
        <v>53</v>
      </c>
      <c r="BK136" s="518"/>
      <c r="BL136" s="518"/>
      <c r="BM136" s="518"/>
      <c r="BN136" s="519"/>
      <c r="BO136" s="518">
        <f>BO133/BO8</f>
        <v>51.705882352941174</v>
      </c>
      <c r="BP136" s="518"/>
      <c r="BQ136" s="518"/>
      <c r="BR136" s="518"/>
      <c r="BS136" s="519"/>
      <c r="BT136" s="350"/>
      <c r="BU136" s="351"/>
      <c r="BV136" s="66"/>
      <c r="BW136" s="66"/>
      <c r="BX136" s="85"/>
      <c r="BY136" s="85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</row>
    <row r="137" spans="2:131" ht="23.25" customHeight="1" collapsed="1">
      <c r="B137" s="524" t="s">
        <v>85</v>
      </c>
      <c r="C137" s="525"/>
      <c r="D137" s="104">
        <f>SUM(L137:BS137)</f>
        <v>37</v>
      </c>
      <c r="E137" s="195"/>
      <c r="F137" s="172"/>
      <c r="G137" s="196"/>
      <c r="H137" s="172"/>
      <c r="I137" s="174"/>
      <c r="J137" s="174"/>
      <c r="K137" s="175"/>
      <c r="L137" s="514">
        <f>_xlfn.COUNTIFS($D$12:$D$121,1)</f>
        <v>2</v>
      </c>
      <c r="M137" s="512"/>
      <c r="N137" s="512"/>
      <c r="O137" s="512"/>
      <c r="P137" s="512"/>
      <c r="Q137" s="514">
        <f>_xlfn.COUNTIFS($D$12:$D$121,2)</f>
        <v>3</v>
      </c>
      <c r="R137" s="512"/>
      <c r="S137" s="512"/>
      <c r="T137" s="512"/>
      <c r="U137" s="512"/>
      <c r="V137" s="526">
        <f>_xlfn.COUNTIFS($D$12:$D$121,3)</f>
        <v>2</v>
      </c>
      <c r="W137" s="527"/>
      <c r="X137" s="527"/>
      <c r="Y137" s="527"/>
      <c r="Z137" s="528"/>
      <c r="AA137" s="526">
        <f>_xlfn.COUNTIFS($D$12:$D$121,4)</f>
        <v>5</v>
      </c>
      <c r="AB137" s="527"/>
      <c r="AC137" s="527"/>
      <c r="AD137" s="527"/>
      <c r="AE137" s="528"/>
      <c r="AF137" s="526">
        <f>_xlfn.COUNTIFS($D$12:$D$121,5)</f>
        <v>4</v>
      </c>
      <c r="AG137" s="527"/>
      <c r="AH137" s="527"/>
      <c r="AI137" s="527"/>
      <c r="AJ137" s="528"/>
      <c r="AK137" s="514">
        <f>_xlfn.COUNTIFS($D$12:$D$121,6)+_xlfn.COUNTIFS($D$12:$D$121,"*6")+_xlfn.COUNTIFS($D$12:$D$121,"6*")</f>
        <v>5</v>
      </c>
      <c r="AL137" s="512"/>
      <c r="AM137" s="512"/>
      <c r="AN137" s="512"/>
      <c r="AO137" s="512"/>
      <c r="AP137" s="514">
        <f>_xlfn.COUNTIFS($D$12:$D$121,7)+_xlfn.COUNTIFS($D$12:$D$121,"*7")+_xlfn.COUNTIFS($D$12:$D$121,"7*")</f>
        <v>3</v>
      </c>
      <c r="AQ137" s="512"/>
      <c r="AR137" s="512"/>
      <c r="AS137" s="512"/>
      <c r="AT137" s="512"/>
      <c r="AU137" s="514">
        <f>_xlfn.COUNTIFS($D$12:$D$121,8)+_xlfn.COUNTIFS($D$12:$D$121,"*8")+_xlfn.COUNTIFS($D$12:$D$121,"8*")</f>
        <v>3</v>
      </c>
      <c r="AV137" s="512"/>
      <c r="AW137" s="512"/>
      <c r="AX137" s="512"/>
      <c r="AY137" s="512"/>
      <c r="AZ137" s="514">
        <f>_xlfn.COUNTIFS($D$12:$D$121,9)+_xlfn.COUNTIFS($D$12:$D$121,"*9")+_xlfn.COUNTIFS($D$12:$D$121,"9*")</f>
        <v>3</v>
      </c>
      <c r="BA137" s="512"/>
      <c r="BB137" s="512"/>
      <c r="BC137" s="512"/>
      <c r="BD137" s="512"/>
      <c r="BE137" s="514">
        <f>_xlfn.COUNTIFS($D$12:$D$121,10)+_xlfn.COUNTIFS($D$12:$D$121,"*10")+_xlfn.COUNTIFS($D$12:$D$121,"10*")</f>
        <v>5</v>
      </c>
      <c r="BF137" s="512"/>
      <c r="BG137" s="512"/>
      <c r="BH137" s="512"/>
      <c r="BI137" s="512"/>
      <c r="BJ137" s="514">
        <f>_xlfn.COUNTIFS($D$12:$D$121,11)+_xlfn.COUNTIFS($D$12:$D$121,"*11")+_xlfn.COUNTIFS($D$12:$D$121,"11*")</f>
        <v>2</v>
      </c>
      <c r="BK137" s="512"/>
      <c r="BL137" s="512"/>
      <c r="BM137" s="512"/>
      <c r="BN137" s="513"/>
      <c r="BO137" s="512">
        <f>_xlfn.COUNTIFS($D$12:$D$121,12)+_xlfn.COUNTIFS($D$12:$D$121,"*12")+_xlfn.COUNTIFS($D$12:$D$121,"12*")</f>
        <v>0</v>
      </c>
      <c r="BP137" s="512"/>
      <c r="BQ137" s="512"/>
      <c r="BR137" s="512"/>
      <c r="BS137" s="513"/>
      <c r="BT137" s="350"/>
      <c r="BU137" s="351"/>
      <c r="BV137" s="66"/>
      <c r="BW137" s="66"/>
      <c r="BX137" s="85"/>
      <c r="BY137" s="85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</row>
    <row r="138" spans="2:131" ht="23.25" customHeight="1" thickBot="1">
      <c r="B138" s="529" t="s">
        <v>86</v>
      </c>
      <c r="C138" s="530"/>
      <c r="D138" s="306"/>
      <c r="E138" s="352">
        <f>SUM(L138:BS138)</f>
        <v>65</v>
      </c>
      <c r="F138" s="309"/>
      <c r="G138" s="305"/>
      <c r="H138" s="309"/>
      <c r="I138" s="310"/>
      <c r="J138" s="310"/>
      <c r="K138" s="346"/>
      <c r="L138" s="515">
        <v>7</v>
      </c>
      <c r="M138" s="516"/>
      <c r="N138" s="516"/>
      <c r="O138" s="516"/>
      <c r="P138" s="516"/>
      <c r="Q138" s="515">
        <v>7</v>
      </c>
      <c r="R138" s="516"/>
      <c r="S138" s="516"/>
      <c r="T138" s="516"/>
      <c r="U138" s="516"/>
      <c r="V138" s="515">
        <f>_xlfn.COUNTIFS($E$12:$E$121,3)+_xlfn.COUNTIFS($E$12:$E$121,"*3")+_xlfn.COUNTIFS($E$12:$E$121,"3*")</f>
        <v>7</v>
      </c>
      <c r="W138" s="516"/>
      <c r="X138" s="516"/>
      <c r="Y138" s="516"/>
      <c r="Z138" s="516"/>
      <c r="AA138" s="515">
        <f>_xlfn.COUNTIFS($E$12:$E$121,4)+_xlfn.COUNTIFS($E$12:$E$121,"*4")+_xlfn.COUNTIFS($E$12:$E$121,"4*")</f>
        <v>4</v>
      </c>
      <c r="AB138" s="516"/>
      <c r="AC138" s="516"/>
      <c r="AD138" s="516"/>
      <c r="AE138" s="516"/>
      <c r="AF138" s="515">
        <f>_xlfn.COUNTIFS($E$12:$E$121,5)+_xlfn.COUNTIFS($E$12:$E$121,"*5")+_xlfn.COUNTIFS($E$12:$E$121,"5*")</f>
        <v>5</v>
      </c>
      <c r="AG138" s="516"/>
      <c r="AH138" s="516"/>
      <c r="AI138" s="516"/>
      <c r="AJ138" s="516"/>
      <c r="AK138" s="515">
        <f>_xlfn.COUNTIFS($E$12:$E$121,6)+_xlfn.COUNTIFS($E$12:$E$121,"*6")+_xlfn.COUNTIFS($E$12:$E$121,"6*")</f>
        <v>4</v>
      </c>
      <c r="AL138" s="516"/>
      <c r="AM138" s="516"/>
      <c r="AN138" s="516"/>
      <c r="AO138" s="516"/>
      <c r="AP138" s="515">
        <f>_xlfn.COUNTIFS($E$12:$E$121,7)+_xlfn.COUNTIFS($E$12:$E$121,"*7")+_xlfn.COUNTIFS($E$12:$E$121,"7*")</f>
        <v>4</v>
      </c>
      <c r="AQ138" s="516"/>
      <c r="AR138" s="516"/>
      <c r="AS138" s="516"/>
      <c r="AT138" s="516"/>
      <c r="AU138" s="515">
        <f>_xlfn.COUNTIFS($E$12:$E$121,8)+_xlfn.COUNTIFS($E$12:$E$121,"*8")+_xlfn.COUNTIFS($E$12:$E$121,"8*")</f>
        <v>5</v>
      </c>
      <c r="AV138" s="516"/>
      <c r="AW138" s="516"/>
      <c r="AX138" s="516"/>
      <c r="AY138" s="516"/>
      <c r="AZ138" s="515">
        <f>_xlfn.COUNTIFS($E$12:$E$121,9)+_xlfn.COUNTIFS($E$12:$E$121,"*9")+_xlfn.COUNTIFS($E$12:$E$121,"9*")</f>
        <v>5</v>
      </c>
      <c r="BA138" s="516"/>
      <c r="BB138" s="516"/>
      <c r="BC138" s="516"/>
      <c r="BD138" s="516"/>
      <c r="BE138" s="515">
        <f>_xlfn.COUNTIFS($E$12:$E$121,10)+_xlfn.COUNTIFS($E$12:$E$121,"*10")+_xlfn.COUNTIFS($E$12:$E$121,"10*")</f>
        <v>2</v>
      </c>
      <c r="BF138" s="516"/>
      <c r="BG138" s="516"/>
      <c r="BH138" s="516"/>
      <c r="BI138" s="516"/>
      <c r="BJ138" s="515">
        <f>_xlfn.COUNTIFS($E$12:$E$121,11)+_xlfn.COUNTIFS($E$12:$E$121,"*11")+_xlfn.COUNTIFS($E$12:$E$121,"11*")</f>
        <v>7</v>
      </c>
      <c r="BK138" s="516"/>
      <c r="BL138" s="516"/>
      <c r="BM138" s="516"/>
      <c r="BN138" s="523"/>
      <c r="BO138" s="516">
        <f>_xlfn.COUNTIFS($E$12:$E$121,12)+_xlfn.COUNTIFS($E$12:$E$121,"*12")+_xlfn.COUNTIFS($E$12:$E$121,"12*")</f>
        <v>8</v>
      </c>
      <c r="BP138" s="516"/>
      <c r="BQ138" s="516"/>
      <c r="BR138" s="516"/>
      <c r="BS138" s="523"/>
      <c r="BT138" s="353"/>
      <c r="BU138" s="354"/>
      <c r="BV138" s="66"/>
      <c r="BW138" s="66"/>
      <c r="BX138" s="85"/>
      <c r="BY138" s="85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</row>
    <row r="139" spans="2:131" ht="23.25">
      <c r="B139" s="136"/>
      <c r="C139" s="137"/>
      <c r="D139" s="138"/>
      <c r="E139" s="138"/>
      <c r="F139" s="88"/>
      <c r="G139" s="88"/>
      <c r="H139" s="88"/>
      <c r="I139" s="88"/>
      <c r="J139" s="88"/>
      <c r="K139" s="88"/>
      <c r="L139" s="88"/>
      <c r="M139" s="139"/>
      <c r="N139" s="140"/>
      <c r="O139" s="140"/>
      <c r="P139" s="139"/>
      <c r="Q139" s="139"/>
      <c r="R139" s="139"/>
      <c r="S139" s="140"/>
      <c r="T139" s="140"/>
      <c r="U139" s="139"/>
      <c r="V139" s="139"/>
      <c r="W139" s="139"/>
      <c r="X139" s="140"/>
      <c r="Y139" s="140"/>
      <c r="Z139" s="139"/>
      <c r="AA139" s="139"/>
      <c r="AB139" s="139"/>
      <c r="AC139" s="140"/>
      <c r="AD139" s="140"/>
      <c r="AE139" s="139"/>
      <c r="AF139" s="139"/>
      <c r="AG139" s="139"/>
      <c r="AH139" s="140">
        <f>(AF133+54+80)/20+2</f>
        <v>61.1</v>
      </c>
      <c r="AI139" s="140"/>
      <c r="AJ139" s="139"/>
      <c r="AK139" s="139"/>
      <c r="AL139" s="139"/>
      <c r="AM139" s="140">
        <f>(AK133+48+32)/17+3</f>
        <v>67.41176470588235</v>
      </c>
      <c r="AN139" s="140"/>
      <c r="AO139" s="139"/>
      <c r="AP139" s="139"/>
      <c r="AQ139" s="139"/>
      <c r="AR139" s="140">
        <f>(AP133+38)/(AP8+2)</f>
        <v>53.23809523809524</v>
      </c>
      <c r="AS139" s="140"/>
      <c r="AT139" s="139"/>
      <c r="AU139" s="139"/>
      <c r="AV139" s="139"/>
      <c r="AW139" s="140">
        <f>(AU133+32)/(AU8+3)</f>
        <v>52.85</v>
      </c>
      <c r="AX139" s="89"/>
      <c r="AY139" s="88"/>
      <c r="AZ139" s="88"/>
      <c r="BA139" s="88"/>
      <c r="BB139" s="89"/>
      <c r="BC139" s="89"/>
      <c r="BD139" s="88"/>
      <c r="BE139" s="88"/>
      <c r="BF139" s="88"/>
      <c r="BG139" s="89"/>
      <c r="BH139" s="89"/>
      <c r="BI139" s="88"/>
      <c r="BJ139" s="88"/>
      <c r="BK139" s="88"/>
      <c r="BL139" s="89"/>
      <c r="BM139" s="89"/>
      <c r="BN139" s="88"/>
      <c r="BO139" s="88"/>
      <c r="BP139" s="88"/>
      <c r="BQ139" s="89"/>
      <c r="BR139" s="89"/>
      <c r="BS139" s="88"/>
      <c r="BT139" s="141"/>
      <c r="BU139" s="72"/>
      <c r="BV139" s="66"/>
      <c r="BW139" s="66"/>
      <c r="BX139" s="85"/>
      <c r="BY139" s="85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</row>
    <row r="140" spans="2:131" ht="51.75" customHeight="1" hidden="1">
      <c r="B140" s="96"/>
      <c r="C140" s="79"/>
      <c r="D140" s="73"/>
      <c r="E140" s="73"/>
      <c r="F140" s="510" t="s">
        <v>541</v>
      </c>
      <c r="G140" s="510"/>
      <c r="H140" s="510"/>
      <c r="I140" s="510"/>
      <c r="J140" s="510"/>
      <c r="K140" s="71"/>
      <c r="L140" s="122">
        <f>(L133+54+80)/22</f>
        <v>54.09090909090909</v>
      </c>
      <c r="M140" s="71"/>
      <c r="N140" s="123"/>
      <c r="O140" s="123"/>
      <c r="P140" s="71"/>
      <c r="Q140" s="71">
        <f>(Q133+64+72)/20</f>
        <v>59.45</v>
      </c>
      <c r="R140" s="71"/>
      <c r="S140" s="123"/>
      <c r="T140" s="123"/>
      <c r="U140" s="71"/>
      <c r="V140" s="71">
        <f>(V133+60+76+72)/20</f>
        <v>58.7</v>
      </c>
      <c r="W140" s="71"/>
      <c r="X140" s="123"/>
      <c r="Y140" s="123"/>
      <c r="Z140" s="71"/>
      <c r="AA140" s="122">
        <f>(AA133+76+76)/22</f>
        <v>56</v>
      </c>
      <c r="AB140" s="71"/>
      <c r="AC140" s="123"/>
      <c r="AD140" s="123"/>
      <c r="AE140" s="71"/>
      <c r="AF140" s="122">
        <f>(AF133+38+70+36)/21</f>
        <v>56.76190476190476</v>
      </c>
      <c r="AG140" s="71"/>
      <c r="AH140" s="123"/>
      <c r="AI140" s="123"/>
      <c r="AJ140" s="71"/>
      <c r="AK140" s="71">
        <f>(AK133+32+48+34)/20</f>
        <v>56.45</v>
      </c>
      <c r="AL140" s="71"/>
      <c r="AM140" s="123"/>
      <c r="AN140" s="123"/>
      <c r="AO140" s="71"/>
      <c r="AP140" s="71">
        <f>(AP133+38+38)/21</f>
        <v>55.04761904761905</v>
      </c>
      <c r="AQ140" s="71"/>
      <c r="AR140" s="123"/>
      <c r="AS140" s="123"/>
      <c r="AT140" s="71"/>
      <c r="AU140" s="71">
        <f>(AU133+32+34)/20</f>
        <v>54.55</v>
      </c>
      <c r="AV140" s="71"/>
      <c r="AW140" s="123"/>
      <c r="AX140" s="123"/>
      <c r="AY140" s="71"/>
      <c r="AZ140" s="71">
        <f>(AZ133+36+36)/20</f>
        <v>55.6</v>
      </c>
      <c r="BA140" s="71"/>
      <c r="BB140" s="123"/>
      <c r="BC140" s="123"/>
      <c r="BD140" s="71"/>
      <c r="BE140" s="71">
        <f>(BE133+32+32)/20</f>
        <v>49.2</v>
      </c>
      <c r="BF140" s="71"/>
      <c r="BG140" s="123"/>
      <c r="BH140" s="123"/>
      <c r="BI140" s="71"/>
      <c r="BJ140" s="130">
        <f>(BJ133+0+0)/18</f>
        <v>53</v>
      </c>
      <c r="BK140" s="130"/>
      <c r="BL140" s="131"/>
      <c r="BM140" s="131"/>
      <c r="BN140" s="130"/>
      <c r="BO140" s="130">
        <f>(BO133+0+0)/17</f>
        <v>51.705882352941174</v>
      </c>
      <c r="BP140" s="130"/>
      <c r="BQ140" s="76"/>
      <c r="BR140" s="76"/>
      <c r="BS140" s="70"/>
      <c r="BT140" s="77"/>
      <c r="BU140" s="78"/>
      <c r="BV140" s="66"/>
      <c r="BW140" s="66"/>
      <c r="BX140" s="85"/>
      <c r="BY140" s="85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</row>
    <row r="141" spans="2:131" s="83" customFormat="1" ht="23.25" hidden="1">
      <c r="B141" s="97"/>
      <c r="C141" s="79"/>
      <c r="D141" s="80"/>
      <c r="E141" s="80"/>
      <c r="F141" s="71"/>
      <c r="G141" s="71"/>
      <c r="H141" s="71"/>
      <c r="I141" s="71"/>
      <c r="J141" s="71"/>
      <c r="K141" s="71"/>
      <c r="L141" s="71"/>
      <c r="M141" s="71">
        <v>2</v>
      </c>
      <c r="N141" s="123"/>
      <c r="O141" s="123"/>
      <c r="P141" s="71"/>
      <c r="Q141" s="71"/>
      <c r="R141" s="71">
        <v>2</v>
      </c>
      <c r="S141" s="123"/>
      <c r="T141" s="123"/>
      <c r="U141" s="71"/>
      <c r="V141" s="71"/>
      <c r="W141" s="71">
        <v>2</v>
      </c>
      <c r="X141" s="123"/>
      <c r="Y141" s="123"/>
      <c r="Z141" s="71"/>
      <c r="AA141" s="71"/>
      <c r="AB141" s="71">
        <v>3</v>
      </c>
      <c r="AC141" s="123"/>
      <c r="AD141" s="123"/>
      <c r="AE141" s="71"/>
      <c r="AF141" s="71"/>
      <c r="AG141" s="71">
        <v>3</v>
      </c>
      <c r="AH141" s="71"/>
      <c r="AI141" s="71"/>
      <c r="AJ141" s="71"/>
      <c r="AK141" s="71"/>
      <c r="AL141" s="71">
        <v>3</v>
      </c>
      <c r="AM141" s="123"/>
      <c r="AN141" s="123"/>
      <c r="AO141" s="71"/>
      <c r="AP141" s="71"/>
      <c r="AQ141" s="71">
        <v>2</v>
      </c>
      <c r="AR141" s="123"/>
      <c r="AS141" s="123"/>
      <c r="AT141" s="71"/>
      <c r="AU141" s="71"/>
      <c r="AV141" s="71">
        <v>3</v>
      </c>
      <c r="AW141" s="123"/>
      <c r="AX141" s="123"/>
      <c r="AY141" s="71"/>
      <c r="AZ141" s="71"/>
      <c r="BA141" s="71">
        <v>2</v>
      </c>
      <c r="BB141" s="123"/>
      <c r="BC141" s="123"/>
      <c r="BD141" s="71"/>
      <c r="BE141" s="71"/>
      <c r="BF141" s="71">
        <v>4</v>
      </c>
      <c r="BG141" s="123"/>
      <c r="BH141" s="123"/>
      <c r="BI141" s="71"/>
      <c r="BJ141" s="71"/>
      <c r="BK141" s="71">
        <v>1</v>
      </c>
      <c r="BL141" s="123"/>
      <c r="BM141" s="123"/>
      <c r="BN141" s="71"/>
      <c r="BO141" s="71"/>
      <c r="BP141" s="71"/>
      <c r="BQ141" s="81"/>
      <c r="BR141" s="81"/>
      <c r="BS141" s="79"/>
      <c r="BT141" s="82"/>
      <c r="BU141" s="78"/>
      <c r="BV141" s="79"/>
      <c r="BW141" s="79"/>
      <c r="BX141" s="85"/>
      <c r="BY141" s="85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79"/>
      <c r="DA141" s="79"/>
      <c r="DB141" s="79"/>
      <c r="DC141" s="79"/>
      <c r="DD141" s="79"/>
      <c r="DE141" s="79"/>
      <c r="DF141" s="79"/>
      <c r="DG141" s="79"/>
      <c r="DH141" s="79"/>
      <c r="DI141" s="79"/>
      <c r="DJ141" s="79"/>
      <c r="DK141" s="79"/>
      <c r="DL141" s="79"/>
      <c r="DM141" s="79"/>
      <c r="DN141" s="79"/>
      <c r="DO141" s="79"/>
      <c r="DP141" s="79"/>
      <c r="DQ141" s="79"/>
      <c r="DR141" s="79"/>
      <c r="DS141" s="79"/>
      <c r="DT141" s="79"/>
      <c r="DU141" s="79"/>
      <c r="DV141" s="79"/>
      <c r="DW141" s="79"/>
      <c r="DX141" s="79"/>
      <c r="DY141" s="79"/>
      <c r="DZ141" s="79"/>
      <c r="EA141" s="79"/>
    </row>
    <row r="142" spans="2:131" s="24" customFormat="1" ht="59.25" customHeight="1" hidden="1">
      <c r="B142" s="98"/>
      <c r="C142" s="79"/>
      <c r="D142" s="78"/>
      <c r="E142" s="78"/>
      <c r="F142" s="510" t="s">
        <v>329</v>
      </c>
      <c r="G142" s="510"/>
      <c r="H142" s="510"/>
      <c r="I142" s="510"/>
      <c r="J142" s="510"/>
      <c r="K142" s="510"/>
      <c r="L142" s="71">
        <f>(L8+M141)*54</f>
        <v>1188</v>
      </c>
      <c r="M142" s="71"/>
      <c r="N142" s="123"/>
      <c r="O142" s="123"/>
      <c r="P142" s="71"/>
      <c r="Q142" s="71">
        <f>(Q8+R141)*54</f>
        <v>1080</v>
      </c>
      <c r="R142" s="71"/>
      <c r="S142" s="123"/>
      <c r="T142" s="123"/>
      <c r="U142" s="71"/>
      <c r="V142" s="71">
        <f>(V8+W141)*54</f>
        <v>1134</v>
      </c>
      <c r="W142" s="71"/>
      <c r="X142" s="123"/>
      <c r="Y142" s="123"/>
      <c r="Z142" s="71"/>
      <c r="AA142" s="71">
        <f>(AA8+AB141)*54</f>
        <v>1134</v>
      </c>
      <c r="AB142" s="71"/>
      <c r="AC142" s="123"/>
      <c r="AD142" s="123"/>
      <c r="AE142" s="71"/>
      <c r="AF142" s="71">
        <f>(AF8+AG141)*54</f>
        <v>1134</v>
      </c>
      <c r="AG142" s="71"/>
      <c r="AH142" s="123"/>
      <c r="AI142" s="123"/>
      <c r="AJ142" s="71"/>
      <c r="AK142" s="71">
        <f>(AK8+AL141)*54</f>
        <v>1080</v>
      </c>
      <c r="AL142" s="71"/>
      <c r="AM142" s="123"/>
      <c r="AN142" s="123"/>
      <c r="AO142" s="71"/>
      <c r="AP142" s="71">
        <f>(AP8+AQ141)*54</f>
        <v>1134</v>
      </c>
      <c r="AQ142" s="71"/>
      <c r="AR142" s="123"/>
      <c r="AS142" s="123"/>
      <c r="AT142" s="71"/>
      <c r="AU142" s="71">
        <f>(AU8+AV141)*54</f>
        <v>1080</v>
      </c>
      <c r="AV142" s="71"/>
      <c r="AW142" s="123"/>
      <c r="AX142" s="123"/>
      <c r="AY142" s="71"/>
      <c r="AZ142" s="71">
        <f>(AZ8+BA141)*54</f>
        <v>1080</v>
      </c>
      <c r="BA142" s="71"/>
      <c r="BB142" s="123"/>
      <c r="BC142" s="123"/>
      <c r="BD142" s="71"/>
      <c r="BE142" s="71">
        <f>(BE8+BF141)*54</f>
        <v>1080</v>
      </c>
      <c r="BF142" s="71"/>
      <c r="BG142" s="123"/>
      <c r="BH142" s="123"/>
      <c r="BI142" s="71"/>
      <c r="BJ142" s="71">
        <f>(BJ8+BK141)*54</f>
        <v>972</v>
      </c>
      <c r="BK142" s="71"/>
      <c r="BL142" s="123"/>
      <c r="BM142" s="123"/>
      <c r="BN142" s="71"/>
      <c r="BO142" s="71">
        <f>(BO8+BP141)*54</f>
        <v>918</v>
      </c>
      <c r="BP142" s="71"/>
      <c r="BQ142" s="76"/>
      <c r="BR142" s="76"/>
      <c r="BS142" s="70"/>
      <c r="BT142" s="62"/>
      <c r="BU142" s="78"/>
      <c r="BV142" s="70"/>
      <c r="BW142" s="70"/>
      <c r="BX142" s="85"/>
      <c r="BY142" s="85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70"/>
      <c r="DG142" s="70"/>
      <c r="DH142" s="70"/>
      <c r="DI142" s="70"/>
      <c r="DJ142" s="70"/>
      <c r="DK142" s="70"/>
      <c r="DL142" s="70"/>
      <c r="DM142" s="70"/>
      <c r="DN142" s="70"/>
      <c r="DO142" s="70"/>
      <c r="DP142" s="70"/>
      <c r="DQ142" s="70"/>
      <c r="DR142" s="70"/>
      <c r="DS142" s="70"/>
      <c r="DT142" s="70"/>
      <c r="DU142" s="70"/>
      <c r="DV142" s="70"/>
      <c r="DW142" s="70"/>
      <c r="DX142" s="70"/>
      <c r="DY142" s="70"/>
      <c r="DZ142" s="70"/>
      <c r="EA142" s="70"/>
    </row>
    <row r="143" spans="2:131" ht="23.25" hidden="1">
      <c r="B143" s="96"/>
      <c r="C143" s="79"/>
      <c r="D143" s="73"/>
      <c r="E143" s="73"/>
      <c r="F143" s="511" t="s">
        <v>330</v>
      </c>
      <c r="G143" s="511"/>
      <c r="H143" s="511"/>
      <c r="I143" s="511"/>
      <c r="J143" s="511"/>
      <c r="K143" s="511"/>
      <c r="L143" s="124">
        <f>L133+54+80</f>
        <v>1190</v>
      </c>
      <c r="M143" s="71"/>
      <c r="N143" s="123"/>
      <c r="O143" s="123"/>
      <c r="P143" s="71"/>
      <c r="Q143" s="124">
        <f>Q133+64+72</f>
        <v>1189</v>
      </c>
      <c r="R143" s="71"/>
      <c r="S143" s="123"/>
      <c r="T143" s="123"/>
      <c r="U143" s="71"/>
      <c r="V143" s="124">
        <f>V133+60+76+72</f>
        <v>1174</v>
      </c>
      <c r="W143" s="71"/>
      <c r="X143" s="123"/>
      <c r="Y143" s="123"/>
      <c r="Z143" s="71"/>
      <c r="AA143" s="124">
        <f>AA133+76+76</f>
        <v>1232</v>
      </c>
      <c r="AB143" s="71"/>
      <c r="AC143" s="123"/>
      <c r="AD143" s="123"/>
      <c r="AE143" s="71"/>
      <c r="AF143" s="124">
        <f>AF133+38+70+36</f>
        <v>1192</v>
      </c>
      <c r="AG143" s="71"/>
      <c r="AH143" s="123"/>
      <c r="AI143" s="123"/>
      <c r="AJ143" s="71"/>
      <c r="AK143" s="124">
        <f>AK133+32+48+34</f>
        <v>1129</v>
      </c>
      <c r="AL143" s="71"/>
      <c r="AM143" s="123"/>
      <c r="AN143" s="123"/>
      <c r="AO143" s="71"/>
      <c r="AP143" s="124">
        <f>AP133+38+38</f>
        <v>1156</v>
      </c>
      <c r="AQ143" s="71"/>
      <c r="AR143" s="123"/>
      <c r="AS143" s="123"/>
      <c r="AT143" s="71"/>
      <c r="AU143" s="124">
        <f>AU133+32+34</f>
        <v>1091</v>
      </c>
      <c r="AV143" s="71"/>
      <c r="AW143" s="123"/>
      <c r="AX143" s="123"/>
      <c r="AY143" s="71"/>
      <c r="AZ143" s="124">
        <f>AZ133+36+36+36</f>
        <v>1148</v>
      </c>
      <c r="BA143" s="71"/>
      <c r="BB143" s="123"/>
      <c r="BC143" s="123"/>
      <c r="BD143" s="71"/>
      <c r="BE143" s="124">
        <f>BE133+32+32+36</f>
        <v>1020</v>
      </c>
      <c r="BF143" s="71"/>
      <c r="BG143" s="123"/>
      <c r="BH143" s="123"/>
      <c r="BI143" s="71"/>
      <c r="BJ143" s="124">
        <f>BJ133+64+70</f>
        <v>1088</v>
      </c>
      <c r="BK143" s="71"/>
      <c r="BL143" s="123"/>
      <c r="BM143" s="123"/>
      <c r="BN143" s="71"/>
      <c r="BO143" s="124">
        <f>BO133+72+60</f>
        <v>1011</v>
      </c>
      <c r="BP143" s="71"/>
      <c r="BQ143" s="75"/>
      <c r="BR143" s="75"/>
      <c r="BS143" s="74"/>
      <c r="BT143" s="84"/>
      <c r="BU143" s="78"/>
      <c r="BV143" s="74"/>
      <c r="BW143" s="74"/>
      <c r="BX143" s="85"/>
      <c r="BY143" s="85"/>
      <c r="BZ143" s="74"/>
      <c r="CA143" s="74"/>
      <c r="CB143" s="74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</row>
    <row r="144" spans="2:131" ht="23.25" hidden="1">
      <c r="B144" s="96"/>
      <c r="C144" s="79"/>
      <c r="D144" s="73"/>
      <c r="E144" s="73"/>
      <c r="F144" s="511"/>
      <c r="G144" s="511"/>
      <c r="H144" s="511"/>
      <c r="I144" s="511"/>
      <c r="J144" s="511"/>
      <c r="K144" s="511"/>
      <c r="L144" s="71"/>
      <c r="M144" s="71"/>
      <c r="N144" s="123"/>
      <c r="O144" s="123"/>
      <c r="P144" s="71"/>
      <c r="Q144" s="71"/>
      <c r="R144" s="71"/>
      <c r="S144" s="123"/>
      <c r="T144" s="123"/>
      <c r="U144" s="71"/>
      <c r="V144" s="71"/>
      <c r="W144" s="71"/>
      <c r="X144" s="123"/>
      <c r="Y144" s="123"/>
      <c r="Z144" s="71"/>
      <c r="AA144" s="71"/>
      <c r="AB144" s="71"/>
      <c r="AC144" s="123"/>
      <c r="AD144" s="123"/>
      <c r="AE144" s="71"/>
      <c r="AF144" s="71"/>
      <c r="AG144" s="71"/>
      <c r="AH144" s="123"/>
      <c r="AI144" s="123"/>
      <c r="AJ144" s="71"/>
      <c r="AK144" s="71"/>
      <c r="AL144" s="71"/>
      <c r="AM144" s="123"/>
      <c r="AN144" s="123"/>
      <c r="AO144" s="71"/>
      <c r="AP144" s="71"/>
      <c r="AQ144" s="71"/>
      <c r="AR144" s="123"/>
      <c r="AS144" s="123"/>
      <c r="AT144" s="71"/>
      <c r="AU144" s="71"/>
      <c r="AV144" s="71"/>
      <c r="AW144" s="123"/>
      <c r="AX144" s="123"/>
      <c r="AY144" s="71"/>
      <c r="AZ144" s="489">
        <f>AZ143/20</f>
        <v>57.4</v>
      </c>
      <c r="BA144" s="71"/>
      <c r="BB144" s="123"/>
      <c r="BC144" s="123"/>
      <c r="BD144" s="71"/>
      <c r="BE144" s="489">
        <f>BE143/20</f>
        <v>51</v>
      </c>
      <c r="BF144" s="71"/>
      <c r="BG144" s="123"/>
      <c r="BH144" s="123"/>
      <c r="BI144" s="71"/>
      <c r="BJ144" s="489">
        <f>BJ143/18</f>
        <v>60.44444444444444</v>
      </c>
      <c r="BK144" s="71"/>
      <c r="BL144" s="123"/>
      <c r="BM144" s="123"/>
      <c r="BN144" s="71"/>
      <c r="BO144" s="488">
        <f>BO143/17</f>
        <v>59.470588235294116</v>
      </c>
      <c r="BP144" s="71"/>
      <c r="BQ144" s="86"/>
      <c r="BR144" s="86"/>
      <c r="BS144" s="66"/>
      <c r="BT144" s="87"/>
      <c r="BU144" s="78"/>
      <c r="BV144" s="66"/>
      <c r="BW144" s="66"/>
      <c r="BX144" s="85"/>
      <c r="BY144" s="85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</row>
    <row r="145" spans="2:131" ht="23.25" hidden="1">
      <c r="B145" s="96"/>
      <c r="C145" s="79"/>
      <c r="D145" s="73"/>
      <c r="E145" s="73"/>
      <c r="F145" s="71"/>
      <c r="G145" s="71"/>
      <c r="H145" s="71"/>
      <c r="I145" s="71"/>
      <c r="J145" s="71"/>
      <c r="K145" s="71"/>
      <c r="L145" s="71"/>
      <c r="M145" s="71"/>
      <c r="N145" s="123"/>
      <c r="O145" s="123"/>
      <c r="P145" s="71"/>
      <c r="Q145" s="71"/>
      <c r="R145" s="71"/>
      <c r="S145" s="123"/>
      <c r="T145" s="123"/>
      <c r="U145" s="71"/>
      <c r="V145" s="71"/>
      <c r="W145" s="71"/>
      <c r="X145" s="123"/>
      <c r="Y145" s="123"/>
      <c r="Z145" s="71"/>
      <c r="AA145" s="71"/>
      <c r="AB145" s="71"/>
      <c r="AC145" s="123"/>
      <c r="AD145" s="123"/>
      <c r="AE145" s="71"/>
      <c r="AF145" s="71"/>
      <c r="AG145" s="71"/>
      <c r="AH145" s="123"/>
      <c r="AI145" s="123"/>
      <c r="AJ145" s="71"/>
      <c r="AK145" s="71"/>
      <c r="AL145" s="71"/>
      <c r="AM145" s="123"/>
      <c r="AN145" s="123"/>
      <c r="AO145" s="71"/>
      <c r="AP145" s="71"/>
      <c r="AQ145" s="71"/>
      <c r="AR145" s="123"/>
      <c r="AS145" s="123"/>
      <c r="AT145" s="71"/>
      <c r="AU145" s="71"/>
      <c r="AV145" s="71"/>
      <c r="AW145" s="123"/>
      <c r="AX145" s="123"/>
      <c r="AY145" s="71"/>
      <c r="AZ145" s="71"/>
      <c r="BA145" s="71"/>
      <c r="BB145" s="123"/>
      <c r="BC145" s="123"/>
      <c r="BD145" s="71"/>
      <c r="BE145" s="71"/>
      <c r="BF145" s="71"/>
      <c r="BG145" s="123"/>
      <c r="BH145" s="123"/>
      <c r="BI145" s="71"/>
      <c r="BJ145" s="71"/>
      <c r="BK145" s="71"/>
      <c r="BL145" s="123"/>
      <c r="BM145" s="123"/>
      <c r="BN145" s="71"/>
      <c r="BO145" s="71"/>
      <c r="BP145" s="71"/>
      <c r="BQ145" s="86"/>
      <c r="BR145" s="86"/>
      <c r="BS145" s="66"/>
      <c r="BT145" s="87"/>
      <c r="BU145" s="78"/>
      <c r="BV145" s="66"/>
      <c r="BW145" s="66"/>
      <c r="BX145" s="85"/>
      <c r="BY145" s="85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</row>
    <row r="146" spans="2:131" ht="56.25" customHeight="1" hidden="1">
      <c r="B146" s="96"/>
      <c r="C146" s="79"/>
      <c r="D146" s="73"/>
      <c r="E146" s="73"/>
      <c r="F146" s="510" t="s">
        <v>542</v>
      </c>
      <c r="G146" s="510"/>
      <c r="H146" s="510"/>
      <c r="I146" s="510"/>
      <c r="J146" s="510"/>
      <c r="K146" s="510"/>
      <c r="L146" s="125">
        <f>(M133+36+80)/20</f>
        <v>34.05</v>
      </c>
      <c r="M146" s="71"/>
      <c r="N146" s="123"/>
      <c r="O146" s="123"/>
      <c r="P146" s="124"/>
      <c r="Q146" s="125">
        <f>(R133+34+72)/18</f>
        <v>34.5</v>
      </c>
      <c r="R146" s="71"/>
      <c r="S146" s="123"/>
      <c r="T146" s="123"/>
      <c r="U146" s="124"/>
      <c r="V146" s="125">
        <f>(W133+36+50+72)/18</f>
        <v>37.888888888888886</v>
      </c>
      <c r="W146" s="71"/>
      <c r="X146" s="123"/>
      <c r="Y146" s="123"/>
      <c r="Z146" s="124"/>
      <c r="AA146" s="125">
        <f>(AB133+50+76)/19</f>
        <v>34.68421052631579</v>
      </c>
      <c r="AB146" s="71"/>
      <c r="AC146" s="123"/>
      <c r="AD146" s="123"/>
      <c r="AE146" s="124"/>
      <c r="AF146" s="125">
        <f>(AG133+38+45+36)/18</f>
        <v>37.111111111111114</v>
      </c>
      <c r="AG146" s="71"/>
      <c r="AH146" s="123"/>
      <c r="AI146" s="123"/>
      <c r="AJ146" s="124"/>
      <c r="AK146" s="125">
        <f>(AL133+32+30+34)/17</f>
        <v>35.05882352941177</v>
      </c>
      <c r="AL146" s="71"/>
      <c r="AM146" s="123"/>
      <c r="AN146" s="123"/>
      <c r="AO146" s="124"/>
      <c r="AP146" s="125">
        <f>(AQ133+38+38)/19</f>
        <v>35.578947368421055</v>
      </c>
      <c r="AQ146" s="71"/>
      <c r="AR146" s="123"/>
      <c r="AS146" s="123"/>
      <c r="AT146" s="124"/>
      <c r="AU146" s="125">
        <f>(AV133+32+34)/17</f>
        <v>36.470588235294116</v>
      </c>
      <c r="AV146" s="71"/>
      <c r="AW146" s="123"/>
      <c r="AX146" s="123"/>
      <c r="AY146" s="124"/>
      <c r="AZ146" s="125">
        <f>(BA133+36+36+26)/18</f>
        <v>35.27777777777778</v>
      </c>
      <c r="BA146" s="71"/>
      <c r="BB146" s="123"/>
      <c r="BC146" s="123"/>
      <c r="BD146" s="124"/>
      <c r="BE146" s="125">
        <f>(BF133+32+32+24)/16</f>
        <v>34.375</v>
      </c>
      <c r="BF146" s="126"/>
      <c r="BG146" s="127"/>
      <c r="BH146" s="127"/>
      <c r="BI146" s="128"/>
      <c r="BJ146" s="125">
        <f>(BK133+40+48)/17</f>
        <v>34.11764705882353</v>
      </c>
      <c r="BK146" s="126"/>
      <c r="BL146" s="127"/>
      <c r="BM146" s="127"/>
      <c r="BN146" s="128"/>
      <c r="BO146" s="125">
        <f>(BP133+32+48)/17</f>
        <v>30.41176470588235</v>
      </c>
      <c r="BP146" s="71"/>
      <c r="BQ146" s="86"/>
      <c r="BR146" s="86"/>
      <c r="BS146" s="66"/>
      <c r="BT146" s="87"/>
      <c r="BU146" s="78"/>
      <c r="BV146" s="66"/>
      <c r="BW146" s="66"/>
      <c r="BX146" s="85"/>
      <c r="BY146" s="85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</row>
    <row r="147" spans="2:131" ht="23.25" hidden="1">
      <c r="B147" s="96"/>
      <c r="C147" s="79"/>
      <c r="D147" s="73"/>
      <c r="E147" s="73"/>
      <c r="F147" s="71"/>
      <c r="G147" s="71"/>
      <c r="H147" s="71"/>
      <c r="I147" s="71"/>
      <c r="J147" s="71"/>
      <c r="K147" s="71"/>
      <c r="L147" s="71"/>
      <c r="M147" s="71"/>
      <c r="N147" s="123"/>
      <c r="O147" s="123"/>
      <c r="P147" s="124"/>
      <c r="Q147" s="71"/>
      <c r="R147" s="71"/>
      <c r="S147" s="123"/>
      <c r="T147" s="123"/>
      <c r="U147" s="124"/>
      <c r="V147" s="71"/>
      <c r="W147" s="71"/>
      <c r="X147" s="123"/>
      <c r="Y147" s="123"/>
      <c r="Z147" s="124"/>
      <c r="AA147" s="71"/>
      <c r="AB147" s="71"/>
      <c r="AC147" s="123"/>
      <c r="AD147" s="123"/>
      <c r="AE147" s="124"/>
      <c r="AF147" s="71"/>
      <c r="AG147" s="71"/>
      <c r="AH147" s="123"/>
      <c r="AI147" s="123"/>
      <c r="AJ147" s="124"/>
      <c r="AK147" s="71"/>
      <c r="AL147" s="71"/>
      <c r="AM147" s="123"/>
      <c r="AN147" s="123"/>
      <c r="AO147" s="124"/>
      <c r="AP147" s="71"/>
      <c r="AQ147" s="71"/>
      <c r="AR147" s="123"/>
      <c r="AS147" s="123"/>
      <c r="AT147" s="124"/>
      <c r="AU147" s="71"/>
      <c r="AV147" s="71"/>
      <c r="AW147" s="123"/>
      <c r="AX147" s="123"/>
      <c r="AY147" s="124"/>
      <c r="AZ147" s="71"/>
      <c r="BA147" s="71"/>
      <c r="BB147" s="123"/>
      <c r="BC147" s="123"/>
      <c r="BD147" s="124"/>
      <c r="BE147" s="71"/>
      <c r="BF147" s="126"/>
      <c r="BG147" s="127"/>
      <c r="BH147" s="127"/>
      <c r="BI147" s="128"/>
      <c r="BJ147" s="126"/>
      <c r="BK147" s="126"/>
      <c r="BL147" s="127"/>
      <c r="BM147" s="127"/>
      <c r="BN147" s="128"/>
      <c r="BO147" s="71"/>
      <c r="BP147" s="71"/>
      <c r="BQ147" s="86"/>
      <c r="BR147" s="86"/>
      <c r="BS147" s="66"/>
      <c r="BT147" s="87"/>
      <c r="BU147" s="78"/>
      <c r="BV147" s="66"/>
      <c r="BW147" s="66"/>
      <c r="BX147" s="85"/>
      <c r="BY147" s="85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</row>
    <row r="148" spans="2:131" ht="53.25" customHeight="1" hidden="1">
      <c r="B148" s="96"/>
      <c r="C148" s="79"/>
      <c r="D148" s="73"/>
      <c r="E148" s="73"/>
      <c r="F148" s="511" t="s">
        <v>543</v>
      </c>
      <c r="G148" s="511"/>
      <c r="H148" s="511"/>
      <c r="I148" s="511"/>
      <c r="J148" s="511"/>
      <c r="K148" s="511"/>
      <c r="L148" s="125">
        <f>(L133+54)/(20+M141)</f>
        <v>50.45454545454545</v>
      </c>
      <c r="M148" s="71"/>
      <c r="N148" s="123"/>
      <c r="O148" s="123"/>
      <c r="P148" s="124"/>
      <c r="Q148" s="129">
        <f>(Q133+64)/(18+R141)</f>
        <v>55.85</v>
      </c>
      <c r="R148" s="71"/>
      <c r="S148" s="123"/>
      <c r="T148" s="123"/>
      <c r="U148" s="124"/>
      <c r="V148" s="71"/>
      <c r="W148" s="71"/>
      <c r="X148" s="123"/>
      <c r="Y148" s="123"/>
      <c r="Z148" s="124"/>
      <c r="AA148" s="71"/>
      <c r="AB148" s="71"/>
      <c r="AC148" s="123"/>
      <c r="AD148" s="123"/>
      <c r="AE148" s="124"/>
      <c r="AF148" s="71"/>
      <c r="AG148" s="71"/>
      <c r="AH148" s="123"/>
      <c r="AI148" s="123"/>
      <c r="AJ148" s="124"/>
      <c r="AK148" s="71"/>
      <c r="AL148" s="71"/>
      <c r="AM148" s="123"/>
      <c r="AN148" s="123"/>
      <c r="AO148" s="124"/>
      <c r="AP148" s="71"/>
      <c r="AQ148" s="71"/>
      <c r="AR148" s="123"/>
      <c r="AS148" s="123"/>
      <c r="AT148" s="124"/>
      <c r="AU148" s="71"/>
      <c r="AV148" s="71"/>
      <c r="AW148" s="123"/>
      <c r="AX148" s="123"/>
      <c r="AY148" s="124"/>
      <c r="AZ148" s="71"/>
      <c r="BA148" s="71"/>
      <c r="BB148" s="123"/>
      <c r="BC148" s="123"/>
      <c r="BD148" s="124"/>
      <c r="BE148" s="71"/>
      <c r="BF148" s="126"/>
      <c r="BG148" s="127"/>
      <c r="BH148" s="127"/>
      <c r="BI148" s="128"/>
      <c r="BJ148" s="126"/>
      <c r="BK148" s="126"/>
      <c r="BL148" s="127"/>
      <c r="BM148" s="127"/>
      <c r="BN148" s="128"/>
      <c r="BO148" s="71"/>
      <c r="BP148" s="71"/>
      <c r="BQ148" s="86"/>
      <c r="BR148" s="86"/>
      <c r="BS148" s="66"/>
      <c r="BT148" s="87"/>
      <c r="BU148" s="78"/>
      <c r="BV148" s="66"/>
      <c r="BW148" s="66"/>
      <c r="BX148" s="85"/>
      <c r="BY148" s="85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</row>
    <row r="149" spans="2:131" ht="23.25">
      <c r="B149" s="96"/>
      <c r="C149" s="79"/>
      <c r="D149" s="73"/>
      <c r="E149" s="73"/>
      <c r="F149" s="66"/>
      <c r="G149" s="66"/>
      <c r="H149" s="66"/>
      <c r="I149" s="66"/>
      <c r="J149" s="66"/>
      <c r="K149" s="66"/>
      <c r="L149" s="66"/>
      <c r="M149" s="66"/>
      <c r="N149" s="86"/>
      <c r="O149" s="86"/>
      <c r="P149" s="66"/>
      <c r="Q149" s="66"/>
      <c r="R149" s="66"/>
      <c r="S149" s="86"/>
      <c r="T149" s="86"/>
      <c r="U149" s="66"/>
      <c r="V149" s="66"/>
      <c r="W149" s="66"/>
      <c r="X149" s="86"/>
      <c r="Y149" s="86"/>
      <c r="Z149" s="66"/>
      <c r="AA149" s="66"/>
      <c r="AB149" s="66"/>
      <c r="AC149" s="86"/>
      <c r="AD149" s="86"/>
      <c r="AE149" s="66"/>
      <c r="AF149" s="66"/>
      <c r="AG149" s="66"/>
      <c r="AH149" s="86"/>
      <c r="AI149" s="86"/>
      <c r="AJ149" s="66"/>
      <c r="AK149" s="66"/>
      <c r="AL149" s="66"/>
      <c r="AM149" s="86"/>
      <c r="AN149" s="86"/>
      <c r="AO149" s="66"/>
      <c r="AP149" s="66"/>
      <c r="AQ149" s="66"/>
      <c r="AR149" s="86"/>
      <c r="AS149" s="86"/>
      <c r="AT149" s="66"/>
      <c r="AU149" s="66"/>
      <c r="AV149" s="66"/>
      <c r="AW149" s="86"/>
      <c r="AX149" s="86"/>
      <c r="AY149" s="66"/>
      <c r="AZ149" s="66"/>
      <c r="BA149" s="66"/>
      <c r="BB149" s="86"/>
      <c r="BC149" s="86"/>
      <c r="BD149" s="66"/>
      <c r="BE149" s="66"/>
      <c r="BF149" s="66"/>
      <c r="BG149" s="86"/>
      <c r="BH149" s="86"/>
      <c r="BI149" s="66"/>
      <c r="BJ149" s="66"/>
      <c r="BK149" s="66"/>
      <c r="BL149" s="86"/>
      <c r="BM149" s="86"/>
      <c r="BN149" s="66"/>
      <c r="BO149" s="66"/>
      <c r="BP149" s="66"/>
      <c r="BQ149" s="86"/>
      <c r="BR149" s="86"/>
      <c r="BS149" s="66"/>
      <c r="BT149" s="87"/>
      <c r="BU149" s="78"/>
      <c r="BV149" s="66"/>
      <c r="BW149" s="66"/>
      <c r="BX149" s="85"/>
      <c r="BY149" s="85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</row>
    <row r="150" spans="2:131" ht="23.25">
      <c r="B150" s="96"/>
      <c r="C150" s="79"/>
      <c r="D150" s="73"/>
      <c r="E150" s="73"/>
      <c r="F150" s="66"/>
      <c r="G150" s="66"/>
      <c r="H150" s="66"/>
      <c r="I150" s="66"/>
      <c r="J150" s="66"/>
      <c r="K150" s="66"/>
      <c r="L150" s="66"/>
      <c r="M150" s="66"/>
      <c r="N150" s="86"/>
      <c r="O150" s="86"/>
      <c r="P150" s="66"/>
      <c r="Q150" s="66"/>
      <c r="R150" s="66"/>
      <c r="S150" s="86"/>
      <c r="T150" s="86"/>
      <c r="U150" s="66"/>
      <c r="V150" s="66"/>
      <c r="W150" s="66"/>
      <c r="X150" s="86"/>
      <c r="Y150" s="86"/>
      <c r="Z150" s="66"/>
      <c r="AA150" s="66"/>
      <c r="AB150" s="66"/>
      <c r="AC150" s="86"/>
      <c r="AD150" s="86"/>
      <c r="AE150" s="66"/>
      <c r="AF150" s="66"/>
      <c r="AG150" s="66"/>
      <c r="AH150" s="86"/>
      <c r="AI150" s="86"/>
      <c r="AJ150" s="66"/>
      <c r="AK150" s="66"/>
      <c r="AL150" s="66"/>
      <c r="AM150" s="86"/>
      <c r="AN150" s="86"/>
      <c r="AO150" s="66"/>
      <c r="AP150" s="66"/>
      <c r="AQ150" s="66"/>
      <c r="AR150" s="86"/>
      <c r="AS150" s="86"/>
      <c r="AT150" s="66"/>
      <c r="AU150" s="66"/>
      <c r="AV150" s="66"/>
      <c r="AW150" s="86"/>
      <c r="AX150" s="86"/>
      <c r="AY150" s="66"/>
      <c r="AZ150" s="66"/>
      <c r="BA150" s="66"/>
      <c r="BB150" s="86"/>
      <c r="BC150" s="86"/>
      <c r="BD150" s="66"/>
      <c r="BE150" s="66"/>
      <c r="BF150" s="66"/>
      <c r="BG150" s="86"/>
      <c r="BH150" s="86"/>
      <c r="BI150" s="66"/>
      <c r="BJ150" s="66"/>
      <c r="BK150" s="66"/>
      <c r="BL150" s="86"/>
      <c r="BM150" s="86"/>
      <c r="BN150" s="66"/>
      <c r="BO150" s="66"/>
      <c r="BP150" s="66"/>
      <c r="BQ150" s="86"/>
      <c r="BR150" s="86"/>
      <c r="BS150" s="66"/>
      <c r="BT150" s="87"/>
      <c r="BU150" s="78"/>
      <c r="BV150" s="66"/>
      <c r="BW150" s="66"/>
      <c r="BX150" s="85"/>
      <c r="BY150" s="85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</row>
    <row r="151" spans="2:131" ht="23.25">
      <c r="B151" s="96"/>
      <c r="C151" s="79"/>
      <c r="D151" s="73"/>
      <c r="E151" s="73"/>
      <c r="F151" s="66"/>
      <c r="G151" s="66"/>
      <c r="H151" s="66"/>
      <c r="I151" s="66"/>
      <c r="J151" s="66"/>
      <c r="K151" s="66"/>
      <c r="L151" s="66"/>
      <c r="M151" s="66"/>
      <c r="N151" s="86"/>
      <c r="O151" s="86"/>
      <c r="P151" s="66"/>
      <c r="Q151" s="66"/>
      <c r="R151" s="66"/>
      <c r="S151" s="86"/>
      <c r="T151" s="86"/>
      <c r="U151" s="66"/>
      <c r="V151" s="66"/>
      <c r="W151" s="66"/>
      <c r="X151" s="86"/>
      <c r="Y151" s="86"/>
      <c r="Z151" s="66"/>
      <c r="AA151" s="66"/>
      <c r="AB151" s="66"/>
      <c r="AC151" s="86"/>
      <c r="AD151" s="86"/>
      <c r="AE151" s="66"/>
      <c r="AF151" s="66"/>
      <c r="AG151" s="66"/>
      <c r="AH151" s="86"/>
      <c r="AI151" s="86"/>
      <c r="AJ151" s="66"/>
      <c r="AK151" s="66"/>
      <c r="AL151" s="66"/>
      <c r="AM151" s="86"/>
      <c r="AN151" s="86"/>
      <c r="AO151" s="66"/>
      <c r="AP151" s="66"/>
      <c r="AQ151" s="66"/>
      <c r="AR151" s="86"/>
      <c r="AS151" s="86"/>
      <c r="AT151" s="66"/>
      <c r="AU151" s="66"/>
      <c r="AV151" s="66"/>
      <c r="AW151" s="86"/>
      <c r="AX151" s="86"/>
      <c r="AY151" s="66"/>
      <c r="AZ151" s="66"/>
      <c r="BA151" s="66"/>
      <c r="BB151" s="86"/>
      <c r="BC151" s="86"/>
      <c r="BD151" s="66"/>
      <c r="BE151" s="66"/>
      <c r="BF151" s="66"/>
      <c r="BG151" s="86"/>
      <c r="BH151" s="86"/>
      <c r="BI151" s="66"/>
      <c r="BJ151" s="66"/>
      <c r="BK151" s="66"/>
      <c r="BL151" s="86"/>
      <c r="BM151" s="86"/>
      <c r="BN151" s="66"/>
      <c r="BO151" s="66"/>
      <c r="BP151" s="66"/>
      <c r="BQ151" s="86"/>
      <c r="BR151" s="86"/>
      <c r="BS151" s="66"/>
      <c r="BT151" s="87"/>
      <c r="BU151" s="78"/>
      <c r="BV151" s="66"/>
      <c r="BW151" s="66"/>
      <c r="BX151" s="85"/>
      <c r="BY151" s="85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</row>
  </sheetData>
  <sheetProtection/>
  <mergeCells count="118">
    <mergeCell ref="F142:K142"/>
    <mergeCell ref="F143:K144"/>
    <mergeCell ref="B2:BT2"/>
    <mergeCell ref="B4:BT4"/>
    <mergeCell ref="B5:B9"/>
    <mergeCell ref="C5:C9"/>
    <mergeCell ref="D5:D9"/>
    <mergeCell ref="E5:E9"/>
    <mergeCell ref="F5:K5"/>
    <mergeCell ref="L5:BS5"/>
    <mergeCell ref="BT5:BT9"/>
    <mergeCell ref="F6:F9"/>
    <mergeCell ref="G6:G9"/>
    <mergeCell ref="H6:K6"/>
    <mergeCell ref="L6:U6"/>
    <mergeCell ref="V6:AE6"/>
    <mergeCell ref="AF6:AO6"/>
    <mergeCell ref="AP6:AY6"/>
    <mergeCell ref="AF7:AJ7"/>
    <mergeCell ref="AK7:AO7"/>
    <mergeCell ref="AP7:AT7"/>
    <mergeCell ref="AU7:AY7"/>
    <mergeCell ref="BJ6:BS6"/>
    <mergeCell ref="H7:H9"/>
    <mergeCell ref="I7:I9"/>
    <mergeCell ref="J7:J9"/>
    <mergeCell ref="K7:K9"/>
    <mergeCell ref="L7:P7"/>
    <mergeCell ref="Q7:U7"/>
    <mergeCell ref="V7:Z7"/>
    <mergeCell ref="AA7:AE7"/>
    <mergeCell ref="L8:P8"/>
    <mergeCell ref="Q8:U8"/>
    <mergeCell ref="V8:Z8"/>
    <mergeCell ref="AA8:AE8"/>
    <mergeCell ref="AF8:AJ8"/>
    <mergeCell ref="AZ6:BI6"/>
    <mergeCell ref="AU135:AY135"/>
    <mergeCell ref="AK8:AO8"/>
    <mergeCell ref="AZ135:BD135"/>
    <mergeCell ref="BE135:BI135"/>
    <mergeCell ref="AK135:AO135"/>
    <mergeCell ref="AP134:AT134"/>
    <mergeCell ref="AU134:AY134"/>
    <mergeCell ref="AZ134:BD134"/>
    <mergeCell ref="BE134:BI134"/>
    <mergeCell ref="BO8:BS8"/>
    <mergeCell ref="AZ7:BD7"/>
    <mergeCell ref="BE7:BI7"/>
    <mergeCell ref="BJ7:BN7"/>
    <mergeCell ref="BO7:BS7"/>
    <mergeCell ref="AP8:AT8"/>
    <mergeCell ref="AU8:AY8"/>
    <mergeCell ref="AZ8:BD8"/>
    <mergeCell ref="BE8:BI8"/>
    <mergeCell ref="BJ8:BN8"/>
    <mergeCell ref="B133:C133"/>
    <mergeCell ref="B135:C135"/>
    <mergeCell ref="L135:P135"/>
    <mergeCell ref="Q135:U135"/>
    <mergeCell ref="V135:Z135"/>
    <mergeCell ref="AA135:AE135"/>
    <mergeCell ref="B134:C134"/>
    <mergeCell ref="BO135:BS135"/>
    <mergeCell ref="AP136:AT136"/>
    <mergeCell ref="BJ135:BN135"/>
    <mergeCell ref="V136:Z136"/>
    <mergeCell ref="AA136:AE136"/>
    <mergeCell ref="AF136:AJ136"/>
    <mergeCell ref="B138:C138"/>
    <mergeCell ref="L138:P138"/>
    <mergeCell ref="Q138:U138"/>
    <mergeCell ref="V138:Z138"/>
    <mergeCell ref="AF135:AJ135"/>
    <mergeCell ref="AU136:AY136"/>
    <mergeCell ref="AK136:AO136"/>
    <mergeCell ref="B136:C136"/>
    <mergeCell ref="L136:P136"/>
    <mergeCell ref="Q136:U136"/>
    <mergeCell ref="B137:C137"/>
    <mergeCell ref="L137:P137"/>
    <mergeCell ref="Q137:U137"/>
    <mergeCell ref="V137:Z137"/>
    <mergeCell ref="AA137:AE137"/>
    <mergeCell ref="AZ137:BD137"/>
    <mergeCell ref="AF137:AJ137"/>
    <mergeCell ref="AK137:AO137"/>
    <mergeCell ref="AP137:AT137"/>
    <mergeCell ref="AA138:AE138"/>
    <mergeCell ref="AF138:AJ138"/>
    <mergeCell ref="BU5:BU9"/>
    <mergeCell ref="AZ138:BD138"/>
    <mergeCell ref="BE138:BI138"/>
    <mergeCell ref="BJ138:BN138"/>
    <mergeCell ref="BO138:BS138"/>
    <mergeCell ref="BE137:BI137"/>
    <mergeCell ref="AZ136:BD136"/>
    <mergeCell ref="BE136:BI136"/>
    <mergeCell ref="AK134:AO134"/>
    <mergeCell ref="BJ137:BN137"/>
    <mergeCell ref="BO137:BS137"/>
    <mergeCell ref="AP138:AT138"/>
    <mergeCell ref="AU137:AY137"/>
    <mergeCell ref="AU138:AY138"/>
    <mergeCell ref="AK138:AO138"/>
    <mergeCell ref="BJ136:BN136"/>
    <mergeCell ref="BO136:BS136"/>
    <mergeCell ref="AP135:AT135"/>
    <mergeCell ref="F146:K146"/>
    <mergeCell ref="F148:K148"/>
    <mergeCell ref="F140:J140"/>
    <mergeCell ref="BJ134:BN134"/>
    <mergeCell ref="BO134:BS134"/>
    <mergeCell ref="L134:P134"/>
    <mergeCell ref="Q134:U134"/>
    <mergeCell ref="V134:Z134"/>
    <mergeCell ref="AA134:AE134"/>
    <mergeCell ref="AF134:AJ134"/>
  </mergeCells>
  <conditionalFormatting sqref="F125:K125 L136 R11:T11 AF57:AF59 V16 F50:L50 F127:J127 F16:I16 F32:I32 I33:J33 I69:J69 F33:G33 L45 J64:J65 J102:J103 F102:G103 F51:J51 L51 J61 J80 F80:G80 F104 F123 L123:BT123 AP45:AU45 J96 F96:G96 F61:G61 F91:G91 J91 F72:F74 F18:J22 F126:I126 L80 AU80 L61 AP76 F105:I105 J70:J71 AP99 F55:I55 V54 AK67 AK82 BO86 L11:O11 BJ11:BR14 L18:L22 BJ19:BS21 BJ16:BR16 BJ18:BR18 V11:BH11 I41:I43 F41:G43 F75:I75 L32:L33 F37:J37 L125:BT126 BD107:BE107 BJ100 L116 N32:Q33 N18:Q22 N61:Q61 N45:Q45 N50:Q51 N116:Q116 N80:Q80 S80:V80 S116:V116 S50:V51 S45:U45 S61:V61 S18:V22 S41:V43 S32:V33 X18:AU22 X61:AA61 X116:AA116 X80:Z80 X89:AA89 X16:AU16 AC89:AF89 AC68:AE68 AC82:AE82 AC116:AF116 AC61:AF61 X51:AF51 AH51:AK51 AH61:AK61 AH116:AK116 AH76:AJ76 AH89:AK89 X50:BS50 AM89:AP89 AM55:AP55 AM116:AP116 AM61:AP61 AM51:AP51 AR51:AU51 AR61:AU61 AR116:AU116 AR55:AU55 AR91:AU91 AR89:AU89 AW16:BH16 AW22:BS22 AW18:BH21 AW32:BS33 AF12:AU14 AW12:BH14 AW45:BS45 AW102:AZ103 AW91:AZ91 AW55:AZ55 AW116:AZ116 AW61:AZ61 AW51:AZ51 AW80:AZ80 BB51:BE51 BB61:BE61 BB91:BE91 BB100:BD100 BB116:BE116 BB87:BD87 BG86:BI86 BG109:BJ110 BG102:BJ104 BG91:BJ91 BG61:BJ61 BG51:BJ51 BL51:BO51 BL61:BO61 BL91:BO91 BL102:BO104 BL109:BO110 BQ102:BS104 BQ91:BS91 BQ55:BS55 BQ61:BS61 BQ51:BS51 BQ80:BS80 S67:U67 N57:P59 BA51:BA52 BF51:BF52 AW92:AY92 BJ92 BJ135:BJ136 V135:V136 BO135:BO136 BE135:BE136 AZ135:AZ136 AP135:AP136 AK135:AK136 Q135:Q136 BT134:BT138 L139:BU142 L143:P143 R143:BU143 AA135:AA136 AF135:AF136 F10:J11 L10:T10 V10:BT10 W50:W52 BK51:BK52 AB23 AG23 AC41:AU43 AL23 R17:R25 W24:BT25 W15:W23 L26 AW28:BS28 X41:AA43 X28:AA28 AC28:AF28 AH28:AK28 AM28:AU28 X32:AU33 N28:V28 W28:W29 N26:BT26 AL28:AL30 AG28:AG30 AB28:AB30 BT28:BT33 W31:W33 AV28:AV33 M17:M26 R30:R33 N41:Q43 AG38 L41:L43 AW41:BS43 L37:BT37 AK38:BT39 L38:U39 AB38 W38 L100 L53 F53:J54 AZ53:AZ54 N100:Q100 N53:Q53 S100:V100 S53:V53 X100:AA100 AM53:AO54 BQ53:BT54 L55 N55:Q55 S55:V55 AH53:AK55 S66:AA66 W53:AF55 BA53:BO55 AC66:AK66 AH57:AK59 AM57:AP59 AR57:AU59 AW57:AZ59 BB57:BE59 BG57:BJ59 BL57:BO59 BQ57:BS59 W56 R51:R56 F64:G65 AW64:AZ65 BB64:BE65 BG64:BJ65 BL64:BO65 BA56:BA65 BF56:BF65 BK56:BK65 L64:L65 S64:V65 X64:AA65 AC64:AF65 N64:Q65 AH64:AK65 AM64:AP65 AR64:AU65 BQ64:BS65 BA79:BA80 R60:R65 AG51:AG65 W60:W65 BQ69:BS76 AR69:AU76 AM69:AP75 AH69:AK75 AC69:AF76 S68:AA76 L66:R76 AW69:BO76 F69:G71 AG68:AG76 F66:J68 AM66:AO67 BQ66:BT68 AZ66:BO68 AL51:AL76 AB56:AB76 AB79:AB80 R79:R80 M79:M80 W79:W80 AC83:AF84 AH83:AK84 F77:J78 BQ77:BT78 BB80:BE86 BG80:BJ85 AZ77:BO78 L81:AB84 AL79:AL80 L77:AO78 BQ89:BS89 BL89:BO89 BG89:BJ89 BB89:BE89 AW89:AZ89 S89:V89 N89:Q89 L89 F89:G89 J89 AC100:AF100 AC81:AF81 AH100:AK100 AH81:AK81 F81:J87 AM100:AO100 BQ81:BT86 BL80:BO85 AZ81:BA87 L85:AO87 AG79:AG84 AL81:AO84 L91 N91:Q91 S91:V91 BK79:BK91 AQ51:AQ91 AV51:AV91 BP51:BP91 BT50:BT91 BF79:BF91 BA88:BA91 R88:R91 M88:M91 W88:W91 AW93:BJ93 F92:F93 AQ92:AV93 L92:W93 BK92:BT93 AM91:AP93 AH91:AK93 AC91:AF93 X91:AA93 BA94 BF94 BK94 AQ94 AV94 BP94 BT94 R94 M94 W94 F97 F95 AM95:BT97 L95:AA97 L98 N98:Q98 S98:V98 X98:AA98 AC95:AF98 AH95:AK98 AM98:AP98 AR98:AU99 AW98:AY99 F98:J100 BQ100:BT100 BL100:BO100 AZ98:BA100 BK108:BK110 BK98:BK104 BA101:BA103 BF98:BF104 BP98:BP104 BT98:BT104 L102:L105 S102:V105 X102:AA105 AC102:AF105 N102:Q105 AH102:AK105 AM102:AP105 AR102:AU105 BB102:BE103 AZ105:BA107 L117:BF118 BQ116:BS116 BB119:BE119 L119:BA121 J116:J118 F116:G118 AL115:AL116 AG115:AG116 AB115:AB116 R115:R116 M115:M116 W115:W116 BG112:BJ112 L46:AO48 F112:J114 AZ112 BQ112:BT112 BL112:BO112 AQ46:AQ48 BG116:BJ116 BL116:BO116 BQ119:BS119 BB121:BE121 BK112:BK113 L112:AO114 AV115:AV116 AQ115:AQ116 BF115:BF116 BA115:BA116 BP115:BP116 BK115:BK116 BF105:BT107 L127:N127 P127:BT127 K124:BT124 BG117:BI117 F27:I28 M28:M33 L28 L27:BT27 AW109:AZ110 L109:L110 S109:V110 X109:AA110 AC109:AF110 N109:Q110 AH109:AK110 AM109:AP110 AR109:AU110 BQ109:BS110 W98:W110 M98:M110 R98:R110 AB88:AB110 AG88:AG110 AL88:AL110 BA108:BA110 BA112:BA113 AQ98:AQ110 AQ112:AQ113 AV98:AV110 AV112:AV113 BB109:BE110 BB112:BE112 BF108:BF110 BF112:BF113 L111:BI111 BP108:BP110 BP112:BP113 BT108:BT110 BO111:BT111 BB106:BE106 BE104 AW104:AY105 BB98:BE99 BB105:BD105 AY11:AY16 BT11:BT23 AV12:AV23 AO11:AO20 G10:G22 BI11:BI17 BS11:BS18 AE12:AE20 B58:B59 F57:L59 F109:F111 F122:BT122 L129:AE129 AG129:AN129 AP129:AX129 AZ129:BH129 BJ129:BR129 M49:M65 M40:M45 R40:R45 AV40:AV48 W40:W45 AB40:AB45 AL44:AL45 AG44:AG45 F119:J121 F46:J48 BF119:BF121 BP119:BP121 BL119:BO119 BK119:BK121 BG118:BS118 BG119:BJ119 AZ46:BT48 BT112:BT121 BT40:BT48">
    <cfRule type="cellIs" priority="348" dxfId="0" operator="equal" stopIfTrue="1">
      <formula>0</formula>
    </cfRule>
  </conditionalFormatting>
  <conditionalFormatting sqref="P11:Q11">
    <cfRule type="cellIs" priority="346" dxfId="0" operator="equal" stopIfTrue="1">
      <formula>0</formula>
    </cfRule>
  </conditionalFormatting>
  <conditionalFormatting sqref="AA57 AC57:AE57">
    <cfRule type="cellIs" priority="345" dxfId="0" operator="equal" stopIfTrue="1">
      <formula>0</formula>
    </cfRule>
  </conditionalFormatting>
  <conditionalFormatting sqref="AA58:AA59 AC58:AE59">
    <cfRule type="cellIs" priority="344" dxfId="0" operator="equal" stopIfTrue="1">
      <formula>0</formula>
    </cfRule>
  </conditionalFormatting>
  <conditionalFormatting sqref="S56:V56 F56:L56 N56:O56 X56:AA56 AC56:AF56 AH56:AK56 AM56:AP56 AR56:AU56 AW56:AZ56 BB56:BE56 BG56:BJ56 BL56:BO56 BQ56:BS56">
    <cfRule type="cellIs" priority="342" dxfId="0" operator="equal" stopIfTrue="1">
      <formula>0</formula>
    </cfRule>
  </conditionalFormatting>
  <conditionalFormatting sqref="P56:Q56">
    <cfRule type="cellIs" priority="341" dxfId="0" operator="equal" stopIfTrue="1">
      <formula>0</formula>
    </cfRule>
  </conditionalFormatting>
  <conditionalFormatting sqref="R15:T15 F15:J15 V15 L15:O15 BJ15:BR15 X15:AD15 AW15:BH15 AF15:AU15">
    <cfRule type="cellIs" priority="340" dxfId="0" operator="equal" stopIfTrue="1">
      <formula>0</formula>
    </cfRule>
  </conditionalFormatting>
  <conditionalFormatting sqref="P15:Q15">
    <cfRule type="cellIs" priority="339" dxfId="0" operator="equal" stopIfTrue="1">
      <formula>0</formula>
    </cfRule>
  </conditionalFormatting>
  <conditionalFormatting sqref="AK52 AM52:AP52 AR52:AU52 AW52:AZ52 BB52:BE52 BG52:BJ52 BL52:BO52 BQ52:BS52">
    <cfRule type="cellIs" priority="333" dxfId="0" operator="equal" stopIfTrue="1">
      <formula>0</formula>
    </cfRule>
  </conditionalFormatting>
  <conditionalFormatting sqref="F52:G52 I52:J52 L52 AF52 N52:Q52 S52:U52 AH52:AJ52">
    <cfRule type="cellIs" priority="332" dxfId="0" operator="equal" stopIfTrue="1">
      <formula>0</formula>
    </cfRule>
  </conditionalFormatting>
  <conditionalFormatting sqref="V52 X52:AE52">
    <cfRule type="cellIs" priority="330" dxfId="0" operator="equal" stopIfTrue="1">
      <formula>0</formula>
    </cfRule>
  </conditionalFormatting>
  <conditionalFormatting sqref="S17:T17 F17:L17 V17 BJ17:BR17 N17:O17 X17:AU17 AW17:BH17 G10:J10 L10:T10 V10:AO10 G31">
    <cfRule type="cellIs" priority="326" dxfId="0" operator="equal" stopIfTrue="1">
      <formula>0</formula>
    </cfRule>
  </conditionalFormatting>
  <conditionalFormatting sqref="P17:Q17">
    <cfRule type="cellIs" priority="325" dxfId="0" operator="equal" stopIfTrue="1">
      <formula>0</formula>
    </cfRule>
  </conditionalFormatting>
  <conditionalFormatting sqref="F31:J31 L31 N31:Q31 S31:V31 X31:AU31 AW31:BS31">
    <cfRule type="cellIs" priority="324" dxfId="0" operator="equal" stopIfTrue="1">
      <formula>0</formula>
    </cfRule>
  </conditionalFormatting>
  <conditionalFormatting sqref="F40:J40 L40 N40:Q40 S40:V40 X40:AA40 AC40:AU40 AW40:BS40">
    <cfRule type="cellIs" priority="323" dxfId="0" operator="equal" stopIfTrue="1">
      <formula>0</formula>
    </cfRule>
  </conditionalFormatting>
  <conditionalFormatting sqref="L106:L107 L99 N99:Q99 N106:Q107 S106:V107 S99:V99 X99:AA99 X106:AA107 AC106:AF107 AC99:AF99 AH99:AK99 AH107:AJ107 AH106:AK106 AM106:AP106 AM99:AO99 AR106:AT106 BB120:BD120 BG98:BJ99 BG121:BI121 BL98:BO99 BQ98:BS99">
    <cfRule type="cellIs" priority="322" dxfId="0" operator="equal" stopIfTrue="1">
      <formula>0</formula>
    </cfRule>
  </conditionalFormatting>
  <conditionalFormatting sqref="I63:J63 F63:G63 L63 N63:Q63 S63:V63 X63:AA63 AC63:AF63 AH63:AK63 AM63:AP63 AR63:AU63 AW63:AZ63 BB63:BE63 BG63:BJ63 BL63:BO63 BQ63:BS63">
    <cfRule type="cellIs" priority="321" dxfId="0" operator="equal" stopIfTrue="1">
      <formula>0</formula>
    </cfRule>
  </conditionalFormatting>
  <conditionalFormatting sqref="I108:J108 F108:G108 L108 N108:Q108 S108:V108 X108:AA108 AC108:AF108 AH108:AK108 AM108:AP108 AR108:AU108 AW108:AZ108 BB108:BE108 BG108:BJ108 BL108:BO108 BQ108:BS108">
    <cfRule type="cellIs" priority="320" dxfId="0" operator="equal" stopIfTrue="1">
      <formula>0</formula>
    </cfRule>
  </conditionalFormatting>
  <conditionalFormatting sqref="F39:H39">
    <cfRule type="cellIs" priority="317" dxfId="0" operator="equal" stopIfTrue="1">
      <formula>0</formula>
    </cfRule>
  </conditionalFormatting>
  <conditionalFormatting sqref="F38:I38">
    <cfRule type="cellIs" priority="316" dxfId="0" operator="equal" stopIfTrue="1">
      <formula>0</formula>
    </cfRule>
  </conditionalFormatting>
  <conditionalFormatting sqref="F45:I45">
    <cfRule type="cellIs" priority="315" dxfId="0" operator="equal" stopIfTrue="1">
      <formula>0</formula>
    </cfRule>
  </conditionalFormatting>
  <conditionalFormatting sqref="I39:J39">
    <cfRule type="cellIs" priority="313" dxfId="0" operator="equal" stopIfTrue="1">
      <formula>0</formula>
    </cfRule>
  </conditionalFormatting>
  <conditionalFormatting sqref="I101:J101 F101:G101 L101 N101:Q101 S101:V101 X101:AA101 AC101:AF101 AH101:AK101 AM101:AP101 AR101:AU101 AW101:AZ101 BB101:BD101 BG101:BJ101 BL101:BO101 BQ101:BS101">
    <cfRule type="cellIs" priority="310" dxfId="0" operator="equal" stopIfTrue="1">
      <formula>0</formula>
    </cfRule>
  </conditionalFormatting>
  <conditionalFormatting sqref="F44:I44 L44 N44:Q44 S44:V44 X44:AA44 AC44:AF44 AH44:AK44 AM44:AU44 AW44:BS44">
    <cfRule type="cellIs" priority="309" dxfId="0" operator="equal" stopIfTrue="1">
      <formula>0</formula>
    </cfRule>
  </conditionalFormatting>
  <conditionalFormatting sqref="I115:J115 F115:G115 L115 N115:Q115 S115:V115 X115:AA115 AC115:AF115 AH115:AK115 AM115:AP115 AR115:AU115 AW115:AZ115 BB115:BE115 BG115:BJ115 BL115:BO115 BQ115:BS115">
    <cfRule type="cellIs" priority="308" dxfId="0" operator="equal" stopIfTrue="1">
      <formula>0</formula>
    </cfRule>
  </conditionalFormatting>
  <conditionalFormatting sqref="I94:J94 F94:G94 L94 N94:Q94 S94:V94 X94:AA94 AC94:AF94 AH94:AK94 AM94:AP94 AR94:AU94 AW94:AZ94 BB94:BE94 BG94:BJ94 BL94:BO94 BQ94:BS94">
    <cfRule type="cellIs" priority="307" dxfId="0" operator="equal" stopIfTrue="1">
      <formula>0</formula>
    </cfRule>
  </conditionalFormatting>
  <conditionalFormatting sqref="I79:J79 F79:G79 L79 N79:Q79 S79:V79 X79:AA79 AC79:AF79 AH79:AK79 AM79:AP79 AR79:AU79 AW79:AZ79 BB79:BE79 BG79:BJ79 BL79:BO79 BQ79:BS79">
    <cfRule type="cellIs" priority="306" dxfId="0" operator="equal" stopIfTrue="1">
      <formula>0</formula>
    </cfRule>
  </conditionalFormatting>
  <conditionalFormatting sqref="AK45 AM45:AO45">
    <cfRule type="cellIs" priority="299" dxfId="0" operator="equal" stopIfTrue="1">
      <formula>0</formula>
    </cfRule>
  </conditionalFormatting>
  <conditionalFormatting sqref="V45 X45:Z45">
    <cfRule type="cellIs" priority="300" dxfId="0" operator="equal" stopIfTrue="1">
      <formula>0</formula>
    </cfRule>
  </conditionalFormatting>
  <conditionalFormatting sqref="I88:J88 F88:G88 L88 N88:Q88 S88:V88 X88:AA88 AC88:AF88 AH88:AK88 AM88:AP88 AR88:AU88 AW88:AZ88 BB88:BE88 BG88:BJ88 BL88:BO88 BQ88:BS88">
    <cfRule type="cellIs" priority="298" dxfId="0" operator="equal" stopIfTrue="1">
      <formula>0</formula>
    </cfRule>
  </conditionalFormatting>
  <conditionalFormatting sqref="I90:J90 F90:G90 L90 N90:Q90 S90:V90 X90:AA90 AC90:AF90 AH90:AK90 AM90:AP90 AR90:AU90 AW90:AZ90 BB90:BE90 BG90:BJ90 BL90:BO90 BQ90:BS90">
    <cfRule type="cellIs" priority="297" dxfId="0" operator="equal" stopIfTrue="1">
      <formula>0</formula>
    </cfRule>
  </conditionalFormatting>
  <conditionalFormatting sqref="V38 X38:Z38">
    <cfRule type="cellIs" priority="295" dxfId="0" operator="equal" stopIfTrue="1">
      <formula>0</formula>
    </cfRule>
  </conditionalFormatting>
  <conditionalFormatting sqref="I60:J60 F60:G60 L60 N60:Q60 S60:V60 X60:AA60 AC60:AF60 AH60:AK60 AM60:AP60 AR60:AU60 AW60:AZ60 BB60:BE60 BG60:BJ60 BL60:BO60 BQ60:BS60">
    <cfRule type="cellIs" priority="281" dxfId="0" operator="equal" stopIfTrue="1">
      <formula>0</formula>
    </cfRule>
  </conditionalFormatting>
  <conditionalFormatting sqref="J62 L62 F62:G62 N62:Q62 S62:V62 X62:AA62 AC62:AF62 AH62:AK62 AM62:AP62 AR62:AU62 AW62:AZ62 BB62:BE62 BG62:BJ62 BL62:BO62 BQ62:BS62">
    <cfRule type="cellIs" priority="279" dxfId="0" operator="equal" stopIfTrue="1">
      <formula>0</formula>
    </cfRule>
  </conditionalFormatting>
  <conditionalFormatting sqref="BU134:BU137">
    <cfRule type="cellIs" priority="275" dxfId="0" operator="equal" stopIfTrue="1">
      <formula>0</formula>
    </cfRule>
  </conditionalFormatting>
  <conditionalFormatting sqref="J128 F128:G128 L128:BT128">
    <cfRule type="cellIs" priority="242" dxfId="0" operator="equal" stopIfTrue="1">
      <formula>0</formula>
    </cfRule>
  </conditionalFormatting>
  <conditionalFormatting sqref="BX1:BY121 BX123:BY65536">
    <cfRule type="cellIs" priority="241" dxfId="160" operator="equal" stopIfTrue="1">
      <formula>0</formula>
    </cfRule>
  </conditionalFormatting>
  <conditionalFormatting sqref="AA80 AC80:AE80">
    <cfRule type="cellIs" priority="220" dxfId="0" operator="equal" stopIfTrue="1">
      <formula>0</formula>
    </cfRule>
  </conditionalFormatting>
  <conditionalFormatting sqref="AA45 AC45:AE45">
    <cfRule type="cellIs" priority="217" dxfId="0" operator="equal" stopIfTrue="1">
      <formula>0</formula>
    </cfRule>
  </conditionalFormatting>
  <conditionalFormatting sqref="AF45 AH45:AI45">
    <cfRule type="cellIs" priority="216" dxfId="0" operator="equal" stopIfTrue="1">
      <formula>0</formula>
    </cfRule>
  </conditionalFormatting>
  <conditionalFormatting sqref="AJ45">
    <cfRule type="cellIs" priority="215" dxfId="0" operator="equal" stopIfTrue="1">
      <formula>0</formula>
    </cfRule>
  </conditionalFormatting>
  <conditionalFormatting sqref="AA38 AC38:AE38">
    <cfRule type="cellIs" priority="214" dxfId="0" operator="equal" stopIfTrue="1">
      <formula>0</formula>
    </cfRule>
  </conditionalFormatting>
  <conditionalFormatting sqref="AF38 AH38:AI38">
    <cfRule type="cellIs" priority="213" dxfId="0" operator="equal" stopIfTrue="1">
      <formula>0</formula>
    </cfRule>
  </conditionalFormatting>
  <conditionalFormatting sqref="AJ38">
    <cfRule type="cellIs" priority="212" dxfId="0" operator="equal" stopIfTrue="1">
      <formula>0</formula>
    </cfRule>
  </conditionalFormatting>
  <conditionalFormatting sqref="AF80 AH80:AJ80">
    <cfRule type="cellIs" priority="211" dxfId="0" operator="equal" stopIfTrue="1">
      <formula>0</formula>
    </cfRule>
  </conditionalFormatting>
  <conditionalFormatting sqref="B49:L49 N49:Q49 S49:V49 X49:AA49 AC49:AF49 AH49:AK49 AM49:AP49 AR49:AU49 AW49:AZ49 BB49:BE49 BG49:BJ49 BL49:BO49 BQ49:BT49">
    <cfRule type="cellIs" priority="202" dxfId="0" operator="equal" stopIfTrue="1">
      <formula>0</formula>
    </cfRule>
  </conditionalFormatting>
  <conditionalFormatting sqref="F30:J30 F26:J26 L30 N30:Q30 S30:U30 Z30:AA30 AC30:AF30 AH30:AK30 AM30:AU30 AW30:BS30">
    <cfRule type="cellIs" priority="199" dxfId="0" operator="equal" stopIfTrue="1">
      <formula>0</formula>
    </cfRule>
  </conditionalFormatting>
  <conditionalFormatting sqref="F29:J29 L29 N29:P29 U29:V29 X29:AA29 AC29:AF29 AH29:AK29 AM29:AU29 AW29:BS29">
    <cfRule type="cellIs" priority="198" dxfId="0" operator="equal" stopIfTrue="1">
      <formula>0</formula>
    </cfRule>
  </conditionalFormatting>
  <conditionalFormatting sqref="AK76 AM76:AN76">
    <cfRule type="cellIs" priority="194" dxfId="0" operator="equal" stopIfTrue="1">
      <formula>0</formula>
    </cfRule>
  </conditionalFormatting>
  <conditionalFormatting sqref="AO76">
    <cfRule type="cellIs" priority="193" dxfId="0" operator="equal" stopIfTrue="1">
      <formula>0</formula>
    </cfRule>
  </conditionalFormatting>
  <conditionalFormatting sqref="AU106 AW106:AX106">
    <cfRule type="cellIs" priority="192" dxfId="0" operator="equal" stopIfTrue="1">
      <formula>0</formula>
    </cfRule>
  </conditionalFormatting>
  <conditionalFormatting sqref="AY106">
    <cfRule type="cellIs" priority="191" dxfId="0" operator="equal" stopIfTrue="1">
      <formula>0</formula>
    </cfRule>
  </conditionalFormatting>
  <conditionalFormatting sqref="AK107 AP107 AU107 AM107:AN107 AR107:AS107 AW107:AX107">
    <cfRule type="cellIs" priority="190" dxfId="0" operator="equal" stopIfTrue="1">
      <formula>0</formula>
    </cfRule>
  </conditionalFormatting>
  <conditionalFormatting sqref="AO107 AT107 AY107">
    <cfRule type="cellIs" priority="189" dxfId="0" operator="equal" stopIfTrue="1">
      <formula>0</formula>
    </cfRule>
  </conditionalFormatting>
  <conditionalFormatting sqref="F107">
    <cfRule type="cellIs" priority="188" dxfId="0" operator="equal" stopIfTrue="1">
      <formula>0</formula>
    </cfRule>
  </conditionalFormatting>
  <conditionalFormatting sqref="F106">
    <cfRule type="cellIs" priority="185" dxfId="0" operator="equal" stopIfTrue="1">
      <formula>0</formula>
    </cfRule>
  </conditionalFormatting>
  <conditionalFormatting sqref="F76">
    <cfRule type="cellIs" priority="184" dxfId="0" operator="equal" stopIfTrue="1">
      <formula>0</formula>
    </cfRule>
  </conditionalFormatting>
  <conditionalFormatting sqref="BO121 BQ121:BR121">
    <cfRule type="cellIs" priority="181" dxfId="0" operator="equal" stopIfTrue="1">
      <formula>0</formula>
    </cfRule>
  </conditionalFormatting>
  <conditionalFormatting sqref="BS121">
    <cfRule type="cellIs" priority="180" dxfId="0" operator="equal" stopIfTrue="1">
      <formula>0</formula>
    </cfRule>
  </conditionalFormatting>
  <conditionalFormatting sqref="BJ121 BL121:BM121">
    <cfRule type="cellIs" priority="179" dxfId="0" operator="equal" stopIfTrue="1">
      <formula>0</formula>
    </cfRule>
  </conditionalFormatting>
  <conditionalFormatting sqref="BN121">
    <cfRule type="cellIs" priority="178" dxfId="0" operator="equal" stopIfTrue="1">
      <formula>0</formula>
    </cfRule>
  </conditionalFormatting>
  <conditionalFormatting sqref="L54 N54:O54">
    <cfRule type="cellIs" priority="177" dxfId="0" operator="equal" stopIfTrue="1">
      <formula>0</formula>
    </cfRule>
  </conditionalFormatting>
  <conditionalFormatting sqref="P54">
    <cfRule type="cellIs" priority="176" dxfId="0" operator="equal" stopIfTrue="1">
      <formula>0</formula>
    </cfRule>
  </conditionalFormatting>
  <conditionalFormatting sqref="Q54 S54:T54">
    <cfRule type="cellIs" priority="175" dxfId="0" operator="equal" stopIfTrue="1">
      <formula>0</formula>
    </cfRule>
  </conditionalFormatting>
  <conditionalFormatting sqref="U54">
    <cfRule type="cellIs" priority="174" dxfId="0" operator="equal" stopIfTrue="1">
      <formula>0</formula>
    </cfRule>
  </conditionalFormatting>
  <conditionalFormatting sqref="AK68 AM68:AO68">
    <cfRule type="cellIs" priority="171" dxfId="0" operator="equal" stopIfTrue="1">
      <formula>0</formula>
    </cfRule>
  </conditionalFormatting>
  <conditionalFormatting sqref="BI18:BI21">
    <cfRule type="cellIs" priority="159" dxfId="0" operator="equal" stopIfTrue="1">
      <formula>0</formula>
    </cfRule>
  </conditionalFormatting>
  <conditionalFormatting sqref="AF82 AH82:AJ82">
    <cfRule type="cellIs" priority="169" dxfId="0" operator="equal" stopIfTrue="1">
      <formula>0</formula>
    </cfRule>
  </conditionalFormatting>
  <conditionalFormatting sqref="AP83:AP84 AR83:AT84">
    <cfRule type="cellIs" priority="168" dxfId="0" operator="equal" stopIfTrue="1">
      <formula>0</formula>
    </cfRule>
  </conditionalFormatting>
  <conditionalFormatting sqref="BJ86 BL86:BN86">
    <cfRule type="cellIs" priority="166" dxfId="0" operator="equal" stopIfTrue="1">
      <formula>0</formula>
    </cfRule>
  </conditionalFormatting>
  <conditionalFormatting sqref="BJ87 BL87:BO87 BQ87:BS87">
    <cfRule type="cellIs" priority="165" dxfId="0" operator="equal" stopIfTrue="1">
      <formula>0</formula>
    </cfRule>
  </conditionalFormatting>
  <conditionalFormatting sqref="BE87 BG87:BI87">
    <cfRule type="cellIs" priority="164" dxfId="0" operator="equal" stopIfTrue="1">
      <formula>0</formula>
    </cfRule>
  </conditionalFormatting>
  <conditionalFormatting sqref="U11 U17 U15">
    <cfRule type="cellIs" priority="161" dxfId="0" operator="equal" stopIfTrue="1">
      <formula>0</formula>
    </cfRule>
  </conditionalFormatting>
  <conditionalFormatting sqref="Q16:U16 R49:R50">
    <cfRule type="cellIs" priority="154" dxfId="0" operator="equal" stopIfTrue="1">
      <formula>0</formula>
    </cfRule>
  </conditionalFormatting>
  <conditionalFormatting sqref="L24:L25 V24:V25 F25:I25 N24:P25 G24:I24">
    <cfRule type="cellIs" priority="153" dxfId="0" operator="equal" stopIfTrue="1">
      <formula>0</formula>
    </cfRule>
  </conditionalFormatting>
  <conditionalFormatting sqref="Q24:Q25 S24:U25">
    <cfRule type="cellIs" priority="151" dxfId="0" operator="equal" stopIfTrue="1">
      <formula>0</formula>
    </cfRule>
  </conditionalFormatting>
  <conditionalFormatting sqref="S23:V23 F23:L23 N23:O23 X23:AA23 AC23:AF23 AH23:AK23 AM23:AU23 AW23:BS23">
    <cfRule type="cellIs" priority="150" dxfId="0" operator="equal" stopIfTrue="1">
      <formula>0</formula>
    </cfRule>
  </conditionalFormatting>
  <conditionalFormatting sqref="P23:Q23">
    <cfRule type="cellIs" priority="149" dxfId="0" operator="equal" stopIfTrue="1">
      <formula>0</formula>
    </cfRule>
  </conditionalFormatting>
  <conditionalFormatting sqref="AP80 AR80:AT80">
    <cfRule type="cellIs" priority="146" dxfId="0" operator="equal" stopIfTrue="1">
      <formula>0</formula>
    </cfRule>
  </conditionalFormatting>
  <conditionalFormatting sqref="AK80 AM80:AO80">
    <cfRule type="cellIs" priority="144" dxfId="0" operator="equal" stopIfTrue="1">
      <formula>0</formula>
    </cfRule>
  </conditionalFormatting>
  <conditionalFormatting sqref="BO120 BQ120:BR120">
    <cfRule type="cellIs" priority="143" dxfId="0" operator="equal" stopIfTrue="1">
      <formula>0</formula>
    </cfRule>
  </conditionalFormatting>
  <conditionalFormatting sqref="BS120">
    <cfRule type="cellIs" priority="142" dxfId="0" operator="equal" stopIfTrue="1">
      <formula>0</formula>
    </cfRule>
  </conditionalFormatting>
  <conditionalFormatting sqref="BI120">
    <cfRule type="cellIs" priority="136" dxfId="0" operator="equal" stopIfTrue="1">
      <formula>0</formula>
    </cfRule>
  </conditionalFormatting>
  <conditionalFormatting sqref="BB107:BC107">
    <cfRule type="cellIs" priority="140" dxfId="0" operator="equal" stopIfTrue="1">
      <formula>0</formula>
    </cfRule>
  </conditionalFormatting>
  <conditionalFormatting sqref="BE120 BG120:BH120">
    <cfRule type="cellIs" priority="139" dxfId="0" operator="equal" stopIfTrue="1">
      <formula>0</formula>
    </cfRule>
  </conditionalFormatting>
  <conditionalFormatting sqref="AU100 AW100:AX100">
    <cfRule type="cellIs" priority="135" dxfId="0" operator="equal" stopIfTrue="1">
      <formula>0</formula>
    </cfRule>
  </conditionalFormatting>
  <conditionalFormatting sqref="AP82 AR82:AT82">
    <cfRule type="cellIs" priority="134" dxfId="0" operator="equal" stopIfTrue="1">
      <formula>0</formula>
    </cfRule>
  </conditionalFormatting>
  <conditionalFormatting sqref="AP86 AR86:AT86">
    <cfRule type="cellIs" priority="133" dxfId="0" operator="equal" stopIfTrue="1">
      <formula>0</formula>
    </cfRule>
  </conditionalFormatting>
  <conditionalFormatting sqref="AP87 AR87:AU87 AW87:AY87">
    <cfRule type="cellIs" priority="132" dxfId="0" operator="equal" stopIfTrue="1">
      <formula>0</formula>
    </cfRule>
  </conditionalFormatting>
  <conditionalFormatting sqref="BO113 BQ113:BR113">
    <cfRule type="cellIs" priority="131" dxfId="0" operator="equal" stopIfTrue="1">
      <formula>0</formula>
    </cfRule>
  </conditionalFormatting>
  <conditionalFormatting sqref="BS113">
    <cfRule type="cellIs" priority="130" dxfId="0" operator="equal" stopIfTrue="1">
      <formula>0</formula>
    </cfRule>
  </conditionalFormatting>
  <conditionalFormatting sqref="BE100 BG100:BH100">
    <cfRule type="cellIs" priority="127" dxfId="0" operator="equal" stopIfTrue="1">
      <formula>0</formula>
    </cfRule>
  </conditionalFormatting>
  <conditionalFormatting sqref="V137 AA137 AF137">
    <cfRule type="cellIs" priority="126" dxfId="0" operator="equal" stopIfTrue="1">
      <formula>0</formula>
    </cfRule>
  </conditionalFormatting>
  <conditionalFormatting sqref="L137">
    <cfRule type="cellIs" priority="123" dxfId="0" operator="equal" stopIfTrue="1">
      <formula>0</formula>
    </cfRule>
  </conditionalFormatting>
  <conditionalFormatting sqref="Q137:Q138 V138 AA138 AF138 AU137:AU138 AK137:AK138 AP137:AP138 AZ137:AZ138 BE137:BE138 L138">
    <cfRule type="cellIs" priority="122" dxfId="0" operator="equal" stopIfTrue="1">
      <formula>0</formula>
    </cfRule>
  </conditionalFormatting>
  <conditionalFormatting sqref="BO138">
    <cfRule type="cellIs" priority="121" dxfId="0" operator="equal" stopIfTrue="1">
      <formula>0</formula>
    </cfRule>
  </conditionalFormatting>
  <conditionalFormatting sqref="AY100">
    <cfRule type="cellIs" priority="120" dxfId="0" operator="equal" stopIfTrue="1">
      <formula>0</formula>
    </cfRule>
  </conditionalFormatting>
  <conditionalFormatting sqref="L135">
    <cfRule type="cellIs" priority="119" dxfId="0" operator="equal" stopIfTrue="1">
      <formula>0</formula>
    </cfRule>
  </conditionalFormatting>
  <conditionalFormatting sqref="AU135:AU136">
    <cfRule type="cellIs" priority="117" dxfId="0" operator="equal" stopIfTrue="1">
      <formula>0</formula>
    </cfRule>
  </conditionalFormatting>
  <conditionalFormatting sqref="AZ113 BB113:BC113">
    <cfRule type="cellIs" priority="116" dxfId="0" operator="equal" stopIfTrue="1">
      <formula>0</formula>
    </cfRule>
  </conditionalFormatting>
  <conditionalFormatting sqref="BD113">
    <cfRule type="cellIs" priority="115" dxfId="0" operator="equal" stopIfTrue="1">
      <formula>0</formula>
    </cfRule>
  </conditionalFormatting>
  <conditionalFormatting sqref="BE113 BG113:BH113">
    <cfRule type="cellIs" priority="114" dxfId="0" operator="equal" stopIfTrue="1">
      <formula>0</formula>
    </cfRule>
  </conditionalFormatting>
  <conditionalFormatting sqref="BJ113 BL113:BM113">
    <cfRule type="cellIs" priority="112" dxfId="0" operator="equal" stopIfTrue="1">
      <formula>0</formula>
    </cfRule>
  </conditionalFormatting>
  <conditionalFormatting sqref="BN113">
    <cfRule type="cellIs" priority="111" dxfId="0" operator="equal" stopIfTrue="1">
      <formula>0</formula>
    </cfRule>
  </conditionalFormatting>
  <conditionalFormatting sqref="AA67 AC67:AD67">
    <cfRule type="cellIs" priority="110" dxfId="0" operator="equal" stopIfTrue="1">
      <formula>0</formula>
    </cfRule>
  </conditionalFormatting>
  <conditionalFormatting sqref="AF68 AH68:AJ68">
    <cfRule type="cellIs" priority="109" dxfId="0" operator="equal" stopIfTrue="1">
      <formula>0</formula>
    </cfRule>
  </conditionalFormatting>
  <conditionalFormatting sqref="W49">
    <cfRule type="cellIs" priority="104" dxfId="0" operator="equal" stopIfTrue="1">
      <formula>0</formula>
    </cfRule>
  </conditionalFormatting>
  <conditionalFormatting sqref="BN120">
    <cfRule type="cellIs" priority="106" dxfId="0" operator="equal" stopIfTrue="1">
      <formula>0</formula>
    </cfRule>
  </conditionalFormatting>
  <conditionalFormatting sqref="BJ120 BL120:BM120">
    <cfRule type="cellIs" priority="107" dxfId="0" operator="equal" stopIfTrue="1">
      <formula>0</formula>
    </cfRule>
  </conditionalFormatting>
  <conditionalFormatting sqref="BI113">
    <cfRule type="cellIs" priority="105" dxfId="0" operator="equal" stopIfTrue="1">
      <formula>0</formula>
    </cfRule>
  </conditionalFormatting>
  <conditionalFormatting sqref="AB49">
    <cfRule type="cellIs" priority="100" dxfId="0" operator="equal" stopIfTrue="1">
      <formula>0</formula>
    </cfRule>
  </conditionalFormatting>
  <conditionalFormatting sqref="AG49">
    <cfRule type="cellIs" priority="99" dxfId="0" operator="equal" stopIfTrue="1">
      <formula>0</formula>
    </cfRule>
  </conditionalFormatting>
  <conditionalFormatting sqref="AL49">
    <cfRule type="cellIs" priority="98" dxfId="0" operator="equal" stopIfTrue="1">
      <formula>0</formula>
    </cfRule>
  </conditionalFormatting>
  <conditionalFormatting sqref="AQ49">
    <cfRule type="cellIs" priority="97" dxfId="0" operator="equal" stopIfTrue="1">
      <formula>0</formula>
    </cfRule>
  </conditionalFormatting>
  <conditionalFormatting sqref="AV49">
    <cfRule type="cellIs" priority="96" dxfId="0" operator="equal" stopIfTrue="1">
      <formula>0</formula>
    </cfRule>
  </conditionalFormatting>
  <conditionalFormatting sqref="BA49">
    <cfRule type="cellIs" priority="95" dxfId="0" operator="equal" stopIfTrue="1">
      <formula>0</formula>
    </cfRule>
  </conditionalFormatting>
  <conditionalFormatting sqref="BF49">
    <cfRule type="cellIs" priority="94" dxfId="0" operator="equal" stopIfTrue="1">
      <formula>0</formula>
    </cfRule>
  </conditionalFormatting>
  <conditionalFormatting sqref="BK49">
    <cfRule type="cellIs" priority="93" dxfId="0" operator="equal" stopIfTrue="1">
      <formula>0</formula>
    </cfRule>
  </conditionalFormatting>
  <conditionalFormatting sqref="BP49">
    <cfRule type="cellIs" priority="92" dxfId="0" operator="equal" stopIfTrue="1">
      <formula>0</formula>
    </cfRule>
  </conditionalFormatting>
  <conditionalFormatting sqref="W67">
    <cfRule type="cellIs" priority="90" dxfId="0" operator="equal" stopIfTrue="1">
      <formula>0</formula>
    </cfRule>
  </conditionalFormatting>
  <conditionalFormatting sqref="V67 X67:Z67">
    <cfRule type="cellIs" priority="89" dxfId="0" operator="equal" stopIfTrue="1">
      <formula>0</formula>
    </cfRule>
  </conditionalFormatting>
  <conditionalFormatting sqref="AE67">
    <cfRule type="cellIs" priority="88" dxfId="0" operator="equal" stopIfTrue="1">
      <formula>0</formula>
    </cfRule>
  </conditionalFormatting>
  <conditionalFormatting sqref="L16:P16">
    <cfRule type="cellIs" priority="86" dxfId="0" operator="equal" stopIfTrue="1">
      <formula>0</formula>
    </cfRule>
  </conditionalFormatting>
  <conditionalFormatting sqref="V30 X30:Y30">
    <cfRule type="cellIs" priority="70" dxfId="0" operator="equal" stopIfTrue="1">
      <formula>0</formula>
    </cfRule>
  </conditionalFormatting>
  <conditionalFormatting sqref="AA39 AC39:AD39">
    <cfRule type="cellIs" priority="76" dxfId="0" operator="equal" stopIfTrue="1">
      <formula>0</formula>
    </cfRule>
  </conditionalFormatting>
  <conditionalFormatting sqref="AE39">
    <cfRule type="cellIs" priority="75" dxfId="0" operator="equal" stopIfTrue="1">
      <formula>0</formula>
    </cfRule>
  </conditionalFormatting>
  <conditionalFormatting sqref="AG67">
    <cfRule type="cellIs" priority="81" dxfId="0" operator="equal" stopIfTrue="1">
      <formula>0</formula>
    </cfRule>
  </conditionalFormatting>
  <conditionalFormatting sqref="AF67 AH67:AJ67">
    <cfRule type="cellIs" priority="80" dxfId="0" operator="equal" stopIfTrue="1">
      <formula>0</formula>
    </cfRule>
  </conditionalFormatting>
  <conditionalFormatting sqref="W39">
    <cfRule type="cellIs" priority="79" dxfId="0" operator="equal" stopIfTrue="1">
      <formula>0</formula>
    </cfRule>
  </conditionalFormatting>
  <conditionalFormatting sqref="V39 X39:Z39">
    <cfRule type="cellIs" priority="78" dxfId="0" operator="equal" stopIfTrue="1">
      <formula>0</formula>
    </cfRule>
  </conditionalFormatting>
  <conditionalFormatting sqref="AB39">
    <cfRule type="cellIs" priority="77" dxfId="0" operator="equal" stopIfTrue="1">
      <formula>0</formula>
    </cfRule>
  </conditionalFormatting>
  <conditionalFormatting sqref="AG39">
    <cfRule type="cellIs" priority="74" dxfId="0" operator="equal" stopIfTrue="1">
      <formula>0</formula>
    </cfRule>
  </conditionalFormatting>
  <conditionalFormatting sqref="AF39 AH39:AI39">
    <cfRule type="cellIs" priority="73" dxfId="0" operator="equal" stopIfTrue="1">
      <formula>0</formula>
    </cfRule>
  </conditionalFormatting>
  <conditionalFormatting sqref="AJ39">
    <cfRule type="cellIs" priority="72" dxfId="0" operator="equal" stopIfTrue="1">
      <formula>0</formula>
    </cfRule>
  </conditionalFormatting>
  <conditionalFormatting sqref="W30">
    <cfRule type="cellIs" priority="69" dxfId="0" operator="equal" stopIfTrue="1">
      <formula>0</formula>
    </cfRule>
  </conditionalFormatting>
  <conditionalFormatting sqref="R29">
    <cfRule type="cellIs" priority="68" dxfId="0" operator="equal" stopIfTrue="1">
      <formula>0</formula>
    </cfRule>
  </conditionalFormatting>
  <conditionalFormatting sqref="Q29 S29:T29">
    <cfRule type="cellIs" priority="67" dxfId="0" operator="equal" stopIfTrue="1">
      <formula>0</formula>
    </cfRule>
  </conditionalFormatting>
  <conditionalFormatting sqref="AZ92:BD92">
    <cfRule type="cellIs" priority="66" dxfId="0" operator="equal" stopIfTrue="1">
      <formula>0</formula>
    </cfRule>
  </conditionalFormatting>
  <conditionalFormatting sqref="BE92:BH92">
    <cfRule type="cellIs" priority="65" dxfId="0" operator="equal" stopIfTrue="1">
      <formula>0</formula>
    </cfRule>
  </conditionalFormatting>
  <conditionalFormatting sqref="BO137">
    <cfRule type="cellIs" priority="64" dxfId="0" operator="equal" stopIfTrue="1">
      <formula>0</formula>
    </cfRule>
  </conditionalFormatting>
  <conditionalFormatting sqref="BJ137:BJ138">
    <cfRule type="cellIs" priority="63" dxfId="0" operator="equal" stopIfTrue="1">
      <formula>0</formula>
    </cfRule>
  </conditionalFormatting>
  <conditionalFormatting sqref="BU138">
    <cfRule type="cellIs" priority="60" dxfId="0" operator="equal" stopIfTrue="1">
      <formula>0</formula>
    </cfRule>
  </conditionalFormatting>
  <conditionalFormatting sqref="L134 Q134 V134 AA134 AF134 AK134 AP134 AU134 AZ134 BE134 BJ134 BO134">
    <cfRule type="cellIs" priority="59" dxfId="0" operator="equal" stopIfTrue="1">
      <formula>0</formula>
    </cfRule>
  </conditionalFormatting>
  <conditionalFormatting sqref="L143">
    <cfRule type="cellIs" priority="58" dxfId="51" operator="greaterThan" stopIfTrue="1">
      <formula>$L$142</formula>
    </cfRule>
  </conditionalFormatting>
  <conditionalFormatting sqref="V143">
    <cfRule type="cellIs" priority="55" dxfId="41" operator="greaterThan" stopIfTrue="1">
      <formula>$V$142</formula>
    </cfRule>
    <cfRule type="cellIs" priority="56" dxfId="51" operator="greaterThan" stopIfTrue="1">
      <formula>$Q$142</formula>
    </cfRule>
  </conditionalFormatting>
  <conditionalFormatting sqref="AF143">
    <cfRule type="cellIs" priority="54" dxfId="41" operator="greaterThan" stopIfTrue="1">
      <formula>$AF$142</formula>
    </cfRule>
  </conditionalFormatting>
  <conditionalFormatting sqref="AK143">
    <cfRule type="cellIs" priority="53" dxfId="41" operator="greaterThan" stopIfTrue="1">
      <formula>$AK$142</formula>
    </cfRule>
  </conditionalFormatting>
  <conditionalFormatting sqref="AP143">
    <cfRule type="cellIs" priority="52" dxfId="41" operator="greaterThan" stopIfTrue="1">
      <formula>$AP$142</formula>
    </cfRule>
  </conditionalFormatting>
  <conditionalFormatting sqref="AU143">
    <cfRule type="cellIs" priority="51" dxfId="41" operator="greaterThan" stopIfTrue="1">
      <formula>$AU$142</formula>
    </cfRule>
  </conditionalFormatting>
  <conditionalFormatting sqref="AZ143">
    <cfRule type="cellIs" priority="49" dxfId="41" operator="greaterThan" stopIfTrue="1">
      <formula>$AZ$142</formula>
    </cfRule>
    <cfRule type="cellIs" priority="50" dxfId="41" operator="greaterThan" stopIfTrue="1">
      <formula>$AZ$142</formula>
    </cfRule>
  </conditionalFormatting>
  <conditionalFormatting sqref="BE143">
    <cfRule type="cellIs" priority="48" dxfId="41" operator="greaterThan" stopIfTrue="1">
      <formula>$BE$142</formula>
    </cfRule>
  </conditionalFormatting>
  <conditionalFormatting sqref="BJ143">
    <cfRule type="cellIs" priority="47" dxfId="41" operator="greaterThan" stopIfTrue="1">
      <formula>$BJ$142</formula>
    </cfRule>
  </conditionalFormatting>
  <conditionalFormatting sqref="BO143">
    <cfRule type="cellIs" priority="46" dxfId="41" operator="greaterThan" stopIfTrue="1">
      <formula>$BO$142</formula>
    </cfRule>
  </conditionalFormatting>
  <conditionalFormatting sqref="Q143">
    <cfRule type="cellIs" priority="45" dxfId="41" operator="greaterThan" stopIfTrue="1">
      <formula>$Q$142</formula>
    </cfRule>
  </conditionalFormatting>
  <conditionalFormatting sqref="BJ111:BN111">
    <cfRule type="cellIs" priority="44" dxfId="0" operator="equal" stopIfTrue="1">
      <formula>0</formula>
    </cfRule>
  </conditionalFormatting>
  <conditionalFormatting sqref="F24">
    <cfRule type="cellIs" priority="43" dxfId="0" operator="equal" stopIfTrue="1">
      <formula>0</formula>
    </cfRule>
  </conditionalFormatting>
  <conditionalFormatting sqref="AA35:AA36 AC35:AE36">
    <cfRule type="cellIs" priority="38" dxfId="0" operator="equal" stopIfTrue="1">
      <formula>0</formula>
    </cfRule>
  </conditionalFormatting>
  <conditionalFormatting sqref="R34:R36">
    <cfRule type="cellIs" priority="37" dxfId="0" operator="equal" stopIfTrue="1">
      <formula>0</formula>
    </cfRule>
  </conditionalFormatting>
  <conditionalFormatting sqref="AF35:AF36 F34:J36 S35:U35 S36:V36 S34:V34 X36:Z36 X34:AA34 AC34:AF34 AG34:AO36 AQ34:AQ36 AV34:AV36 AB34:AB36 AZ34:BT36 W34:W36 L34:Q36">
    <cfRule type="cellIs" priority="40" dxfId="0" operator="equal" stopIfTrue="1">
      <formula>0</formula>
    </cfRule>
  </conditionalFormatting>
  <conditionalFormatting sqref="V35 X35:Z35">
    <cfRule type="cellIs" priority="39" dxfId="0" operator="equal" stopIfTrue="1">
      <formula>0</formula>
    </cfRule>
  </conditionalFormatting>
  <conditionalFormatting sqref="U10">
    <cfRule type="cellIs" priority="36" dxfId="0" operator="equal" stopIfTrue="1">
      <formula>0</formula>
    </cfRule>
  </conditionalFormatting>
  <conditionalFormatting sqref="V12:AD12 L13:O13 R13:AD13">
    <cfRule type="cellIs" priority="35" dxfId="0" operator="equal" stopIfTrue="1">
      <formula>0</formula>
    </cfRule>
  </conditionalFormatting>
  <conditionalFormatting sqref="L14:AD14">
    <cfRule type="cellIs" priority="34" dxfId="0" operator="equal" stopIfTrue="1">
      <formula>0</formula>
    </cfRule>
  </conditionalFormatting>
  <conditionalFormatting sqref="P13">
    <cfRule type="cellIs" priority="33" dxfId="0" operator="equal" stopIfTrue="1">
      <formula>0</formula>
    </cfRule>
  </conditionalFormatting>
  <conditionalFormatting sqref="Q13">
    <cfRule type="cellIs" priority="32" dxfId="0" operator="equal" stopIfTrue="1">
      <formula>0</formula>
    </cfRule>
  </conditionalFormatting>
  <conditionalFormatting sqref="R12:U12">
    <cfRule type="cellIs" priority="31" dxfId="0" operator="equal" stopIfTrue="1">
      <formula>0</formula>
    </cfRule>
  </conditionalFormatting>
  <conditionalFormatting sqref="L12:O12">
    <cfRule type="cellIs" priority="30" dxfId="0" operator="equal" stopIfTrue="1">
      <formula>0</formula>
    </cfRule>
  </conditionalFormatting>
  <conditionalFormatting sqref="P12">
    <cfRule type="cellIs" priority="29" dxfId="0" operator="equal" stopIfTrue="1">
      <formula>0</formula>
    </cfRule>
  </conditionalFormatting>
  <conditionalFormatting sqref="Q12">
    <cfRule type="cellIs" priority="28" dxfId="0" operator="equal" stopIfTrue="1">
      <formula>0</formula>
    </cfRule>
  </conditionalFormatting>
  <conditionalFormatting sqref="V58:Z59">
    <cfRule type="cellIs" priority="27" dxfId="0" operator="equal" stopIfTrue="1">
      <formula>0</formula>
    </cfRule>
  </conditionalFormatting>
  <conditionalFormatting sqref="V57:Z57">
    <cfRule type="cellIs" priority="26" dxfId="0" operator="equal" stopIfTrue="1">
      <formula>0</formula>
    </cfRule>
  </conditionalFormatting>
  <conditionalFormatting sqref="Q57:U57">
    <cfRule type="cellIs" priority="25" dxfId="0" operator="equal" stopIfTrue="1">
      <formula>0</formula>
    </cfRule>
  </conditionalFormatting>
  <conditionalFormatting sqref="Q58:U59">
    <cfRule type="cellIs" priority="24" dxfId="0" operator="equal" stopIfTrue="1">
      <formula>0</formula>
    </cfRule>
  </conditionalFormatting>
  <conditionalFormatting sqref="BJ114:BS114">
    <cfRule type="cellIs" priority="20" dxfId="0" operator="equal" stopIfTrue="1">
      <formula>0</formula>
    </cfRule>
  </conditionalFormatting>
  <conditionalFormatting sqref="AP114:AY114">
    <cfRule type="cellIs" priority="22" dxfId="0" operator="equal" stopIfTrue="1">
      <formula>0</formula>
    </cfRule>
  </conditionalFormatting>
  <conditionalFormatting sqref="AZ114:BI114">
    <cfRule type="cellIs" priority="21" dxfId="0" operator="equal" stopIfTrue="1">
      <formula>0</formula>
    </cfRule>
  </conditionalFormatting>
  <conditionalFormatting sqref="L148">
    <cfRule type="cellIs" priority="19" dxfId="0" operator="equal" stopIfTrue="1">
      <formula>0</formula>
    </cfRule>
  </conditionalFormatting>
  <conditionalFormatting sqref="Q148">
    <cfRule type="cellIs" priority="17" dxfId="0" operator="equal" stopIfTrue="1">
      <formula>0</formula>
    </cfRule>
  </conditionalFormatting>
  <conditionalFormatting sqref="BI100">
    <cfRule type="cellIs" priority="16" dxfId="0" operator="equal" stopIfTrue="1">
      <formula>0</formula>
    </cfRule>
  </conditionalFormatting>
  <conditionalFormatting sqref="BI92">
    <cfRule type="cellIs" priority="15" dxfId="0" operator="equal" stopIfTrue="1">
      <formula>0</formula>
    </cfRule>
  </conditionalFormatting>
  <conditionalFormatting sqref="BO117:BS117">
    <cfRule type="cellIs" priority="14" dxfId="0" operator="equal" stopIfTrue="1">
      <formula>0</formula>
    </cfRule>
  </conditionalFormatting>
  <conditionalFormatting sqref="BJ117:BN117">
    <cfRule type="cellIs" priority="13" dxfId="0" operator="equal" stopIfTrue="1">
      <formula>0</formula>
    </cfRule>
  </conditionalFormatting>
  <conditionalFormatting sqref="AZ104:BD104">
    <cfRule type="cellIs" priority="12" dxfId="0" operator="equal" stopIfTrue="1">
      <formula>0</formula>
    </cfRule>
  </conditionalFormatting>
  <conditionalFormatting sqref="BE101">
    <cfRule type="cellIs" priority="11" dxfId="0" operator="equal" stopIfTrue="1">
      <formula>0</formula>
    </cfRule>
  </conditionalFormatting>
  <conditionalFormatting sqref="BE105">
    <cfRule type="cellIs" priority="10" dxfId="0" operator="equal" stopIfTrue="1">
      <formula>0</formula>
    </cfRule>
  </conditionalFormatting>
  <conditionalFormatting sqref="G129">
    <cfRule type="cellIs" priority="9" dxfId="0" operator="equal" stopIfTrue="1">
      <formula>0</formula>
    </cfRule>
  </conditionalFormatting>
  <conditionalFormatting sqref="AF129">
    <cfRule type="cellIs" priority="8" dxfId="0" operator="equal" stopIfTrue="1">
      <formula>0</formula>
    </cfRule>
  </conditionalFormatting>
  <conditionalFormatting sqref="AO129">
    <cfRule type="cellIs" priority="7" dxfId="0" operator="equal" stopIfTrue="1">
      <formula>0</formula>
    </cfRule>
  </conditionalFormatting>
  <conditionalFormatting sqref="AY129">
    <cfRule type="cellIs" priority="6" dxfId="0" operator="equal" stopIfTrue="1">
      <formula>0</formula>
    </cfRule>
  </conditionalFormatting>
  <conditionalFormatting sqref="BI129">
    <cfRule type="cellIs" priority="5" dxfId="0" operator="equal" stopIfTrue="1">
      <formula>0</formula>
    </cfRule>
  </conditionalFormatting>
  <conditionalFormatting sqref="BS129">
    <cfRule type="cellIs" priority="4" dxfId="0" operator="equal" stopIfTrue="1">
      <formula>0</formula>
    </cfRule>
  </conditionalFormatting>
  <conditionalFormatting sqref="BT129">
    <cfRule type="cellIs" priority="3" dxfId="0" operator="equal" stopIfTrue="1">
      <formula>0</formula>
    </cfRule>
  </conditionalFormatting>
  <conditionalFormatting sqref="L130:BT132">
    <cfRule type="cellIs" priority="2" dxfId="197" operator="equal" stopIfTrue="1">
      <formula>0</formula>
    </cfRule>
  </conditionalFormatting>
  <conditionalFormatting sqref="F133">
    <cfRule type="cellIs" priority="1" dxfId="1" operator="lessThan" stopIfTrue="1">
      <formula>'ПРОЕКТ ПЛАНА ДЛЯ РАССМ'!#REF!</formula>
    </cfRule>
  </conditionalFormatting>
  <printOptions horizontalCentered="1"/>
  <pageMargins left="0.1968503937007874" right="0.1968503937007874" top="0.1968503937007874" bottom="0.2362204724409449" header="0" footer="0"/>
  <pageSetup fitToHeight="0" fitToWidth="1" horizontalDpi="600" verticalDpi="600" orientation="portrait" paperSize="8" scale="39" r:id="rId1"/>
  <ignoredErrors>
    <ignoredError sqref="R13 AB14 W59 R58 M57" formulaRange="1"/>
    <ignoredError sqref="AA1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10"/>
  <sheetViews>
    <sheetView zoomScaleSheetLayoutView="90" zoomScalePageLayoutView="0" workbookViewId="0" topLeftCell="A1">
      <selection activeCell="D32" sqref="D32"/>
    </sheetView>
  </sheetViews>
  <sheetFormatPr defaultColWidth="9.140625" defaultRowHeight="12.75"/>
  <cols>
    <col min="1" max="1" width="0.9921875" style="0" customWidth="1"/>
    <col min="2" max="2" width="20.7109375" style="0" customWidth="1"/>
    <col min="3" max="3" width="9.28125" style="0" customWidth="1"/>
    <col min="4" max="4" width="7.8515625" style="0" customWidth="1"/>
    <col min="5" max="5" width="11.140625" style="0" customWidth="1"/>
    <col min="6" max="6" width="1.1484375" style="0" customWidth="1"/>
    <col min="7" max="7" width="7.28125" style="0" customWidth="1"/>
    <col min="8" max="8" width="17.421875" style="0" customWidth="1"/>
    <col min="9" max="9" width="24.8515625" style="0" customWidth="1"/>
    <col min="10" max="10" width="9.7109375" style="0" customWidth="1"/>
    <col min="11" max="11" width="8.140625" style="0" customWidth="1"/>
    <col min="12" max="12" width="16.421875" style="0" customWidth="1"/>
    <col min="13" max="13" width="0.85546875" style="0" customWidth="1"/>
    <col min="14" max="14" width="8.8515625" style="0" hidden="1" customWidth="1"/>
    <col min="15" max="15" width="8.140625" style="0" hidden="1" customWidth="1"/>
    <col min="16" max="16" width="9.57421875" style="0" hidden="1" customWidth="1"/>
    <col min="17" max="17" width="1.421875" style="0" hidden="1" customWidth="1"/>
    <col min="18" max="18" width="9.28125" style="0" customWidth="1"/>
    <col min="19" max="19" width="10.28125" style="0" customWidth="1"/>
    <col min="20" max="20" width="8.28125" style="0" customWidth="1"/>
    <col min="21" max="21" width="25.57421875" style="0" customWidth="1"/>
    <col min="22" max="22" width="3.8515625" style="0" customWidth="1"/>
  </cols>
  <sheetData>
    <row r="1" spans="1:21" ht="21.75" customHeight="1">
      <c r="A1" s="10"/>
      <c r="B1" s="572" t="s">
        <v>127</v>
      </c>
      <c r="C1" s="573"/>
      <c r="D1" s="573"/>
      <c r="E1" s="574"/>
      <c r="F1" s="5"/>
      <c r="G1" s="572" t="s">
        <v>128</v>
      </c>
      <c r="H1" s="573"/>
      <c r="I1" s="573"/>
      <c r="J1" s="573"/>
      <c r="K1" s="573"/>
      <c r="L1" s="574"/>
      <c r="M1" s="5"/>
      <c r="N1" s="571" t="s">
        <v>107</v>
      </c>
      <c r="O1" s="571"/>
      <c r="P1" s="571"/>
      <c r="Q1" s="5"/>
      <c r="R1" s="579" t="s">
        <v>129</v>
      </c>
      <c r="S1" s="579"/>
      <c r="T1" s="579"/>
      <c r="U1" s="579"/>
    </row>
    <row r="2" spans="1:21" ht="31.5" customHeight="1">
      <c r="A2" s="8"/>
      <c r="B2" s="567" t="s">
        <v>101</v>
      </c>
      <c r="C2" s="567" t="s">
        <v>100</v>
      </c>
      <c r="D2" s="567" t="s">
        <v>102</v>
      </c>
      <c r="E2" s="569" t="s">
        <v>103</v>
      </c>
      <c r="F2" s="5"/>
      <c r="G2" s="575" t="s">
        <v>101</v>
      </c>
      <c r="H2" s="575"/>
      <c r="I2" s="575"/>
      <c r="J2" s="11" t="s">
        <v>100</v>
      </c>
      <c r="K2" s="11" t="s">
        <v>102</v>
      </c>
      <c r="L2" s="20" t="s">
        <v>103</v>
      </c>
      <c r="M2" s="12"/>
      <c r="N2" s="20" t="s">
        <v>100</v>
      </c>
      <c r="O2" s="20" t="s">
        <v>102</v>
      </c>
      <c r="P2" s="20" t="s">
        <v>103</v>
      </c>
      <c r="Q2" s="5"/>
      <c r="R2" s="580" t="s">
        <v>506</v>
      </c>
      <c r="S2" s="580"/>
      <c r="T2" s="580"/>
      <c r="U2" s="580"/>
    </row>
    <row r="3" spans="1:21" ht="14.25">
      <c r="A3" s="5"/>
      <c r="B3" s="568"/>
      <c r="C3" s="568"/>
      <c r="D3" s="568"/>
      <c r="E3" s="570"/>
      <c r="F3" s="5"/>
      <c r="G3" s="578" t="s">
        <v>140</v>
      </c>
      <c r="H3" s="578"/>
      <c r="I3" s="578"/>
      <c r="J3" s="14">
        <v>6</v>
      </c>
      <c r="K3" s="14">
        <v>4</v>
      </c>
      <c r="L3" s="14">
        <v>6</v>
      </c>
      <c r="M3" s="15"/>
      <c r="N3" s="13"/>
      <c r="O3" s="13"/>
      <c r="P3" s="13"/>
      <c r="Q3" s="5"/>
      <c r="R3" s="576" t="s">
        <v>214</v>
      </c>
      <c r="S3" s="576"/>
      <c r="T3" s="576"/>
      <c r="U3" s="576"/>
    </row>
    <row r="4" spans="1:21" ht="17.25" customHeight="1">
      <c r="A4" s="16"/>
      <c r="B4" s="52" t="s">
        <v>475</v>
      </c>
      <c r="C4" s="22" t="s">
        <v>476</v>
      </c>
      <c r="D4" s="14">
        <v>1</v>
      </c>
      <c r="E4" s="14">
        <v>2</v>
      </c>
      <c r="F4" s="5"/>
      <c r="G4" s="21" t="s">
        <v>536</v>
      </c>
      <c r="H4" s="21"/>
      <c r="I4" s="21"/>
      <c r="J4" s="14">
        <v>8</v>
      </c>
      <c r="K4" s="14">
        <v>4</v>
      </c>
      <c r="L4" s="14">
        <v>6</v>
      </c>
      <c r="M4" s="15"/>
      <c r="N4" s="17"/>
      <c r="O4" s="17"/>
      <c r="P4" s="17"/>
      <c r="Q4" s="5"/>
      <c r="R4" s="577" t="s">
        <v>342</v>
      </c>
      <c r="S4" s="577"/>
      <c r="T4" s="577"/>
      <c r="U4" s="577"/>
    </row>
    <row r="5" spans="1:21" ht="17.25" customHeight="1">
      <c r="A5" s="18"/>
      <c r="B5" s="21" t="s">
        <v>139</v>
      </c>
      <c r="C5" s="22" t="s">
        <v>477</v>
      </c>
      <c r="D5" s="14">
        <v>2</v>
      </c>
      <c r="E5" s="14">
        <f>D5*1.5</f>
        <v>3</v>
      </c>
      <c r="F5" s="5"/>
      <c r="G5" s="21" t="s">
        <v>141</v>
      </c>
      <c r="H5" s="21"/>
      <c r="I5" s="21"/>
      <c r="J5" s="14">
        <v>10</v>
      </c>
      <c r="K5" s="14">
        <v>6</v>
      </c>
      <c r="L5" s="23">
        <v>9</v>
      </c>
      <c r="M5" s="15"/>
      <c r="N5" s="19"/>
      <c r="O5" s="19"/>
      <c r="P5" s="19"/>
      <c r="Q5" s="5"/>
      <c r="R5" s="577" t="s">
        <v>215</v>
      </c>
      <c r="S5" s="577"/>
      <c r="T5" s="577"/>
      <c r="U5" s="577"/>
    </row>
    <row r="6" spans="1:17" ht="15.75" customHeight="1">
      <c r="A6" s="6"/>
      <c r="B6" s="6"/>
      <c r="C6" s="6"/>
      <c r="D6" s="5"/>
      <c r="E6" s="5"/>
      <c r="F6" s="5"/>
      <c r="G6" s="564" t="s">
        <v>326</v>
      </c>
      <c r="H6" s="565"/>
      <c r="I6" s="566"/>
      <c r="J6" s="14">
        <v>11</v>
      </c>
      <c r="K6" s="14">
        <v>4</v>
      </c>
      <c r="L6" s="23">
        <v>6</v>
      </c>
      <c r="M6" s="4"/>
      <c r="N6" s="4"/>
      <c r="O6" s="4"/>
      <c r="P6" s="4"/>
      <c r="Q6" s="5"/>
    </row>
    <row r="7" ht="14.25" customHeight="1"/>
    <row r="10" ht="12.75">
      <c r="G10" s="7"/>
    </row>
  </sheetData>
  <sheetProtection/>
  <mergeCells count="15">
    <mergeCell ref="R3:U3"/>
    <mergeCell ref="R4:U4"/>
    <mergeCell ref="R5:U5"/>
    <mergeCell ref="G3:I3"/>
    <mergeCell ref="R1:U1"/>
    <mergeCell ref="R2:U2"/>
    <mergeCell ref="G6:I6"/>
    <mergeCell ref="C2:C3"/>
    <mergeCell ref="D2:D3"/>
    <mergeCell ref="E2:E3"/>
    <mergeCell ref="N1:P1"/>
    <mergeCell ref="B1:E1"/>
    <mergeCell ref="G1:L1"/>
    <mergeCell ref="G2:I2"/>
    <mergeCell ref="B2:B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zoomScale="70" zoomScaleNormal="70" zoomScaleSheetLayoutView="90" zoomScalePageLayoutView="0" workbookViewId="0" topLeftCell="C25">
      <selection activeCell="E20" sqref="E20"/>
    </sheetView>
  </sheetViews>
  <sheetFormatPr defaultColWidth="9.140625" defaultRowHeight="12.75"/>
  <cols>
    <col min="1" max="1" width="7.28125" style="40" hidden="1" customWidth="1"/>
    <col min="2" max="2" width="30.57421875" style="40" hidden="1" customWidth="1"/>
    <col min="3" max="3" width="18.7109375" style="45" customWidth="1"/>
    <col min="4" max="4" width="56.8515625" style="362" hidden="1" customWidth="1"/>
    <col min="5" max="5" width="149.7109375" style="46" customWidth="1"/>
    <col min="6" max="6" width="17.00390625" style="40" customWidth="1"/>
    <col min="7" max="16384" width="9.140625" style="42" customWidth="1"/>
  </cols>
  <sheetData>
    <row r="1" spans="2:16" ht="15.75">
      <c r="B1" s="581" t="s">
        <v>304</v>
      </c>
      <c r="C1" s="581"/>
      <c r="D1" s="581"/>
      <c r="E1" s="581"/>
      <c r="F1" s="58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8" ht="45">
      <c r="A2" s="43"/>
      <c r="B2" s="43"/>
      <c r="C2" s="25" t="s">
        <v>199</v>
      </c>
      <c r="D2" s="359"/>
      <c r="E2" s="25" t="s">
        <v>305</v>
      </c>
      <c r="F2" s="26" t="s">
        <v>306</v>
      </c>
      <c r="G2" s="44"/>
      <c r="H2" s="44"/>
    </row>
    <row r="3" spans="1:6" ht="42.75" customHeight="1">
      <c r="A3" s="37" t="s">
        <v>145</v>
      </c>
      <c r="B3" s="31" t="s">
        <v>134</v>
      </c>
      <c r="C3" s="27" t="s">
        <v>307</v>
      </c>
      <c r="D3" s="360" t="s">
        <v>507</v>
      </c>
      <c r="E3" s="142" t="s">
        <v>689</v>
      </c>
      <c r="F3" s="53" t="s">
        <v>643</v>
      </c>
    </row>
    <row r="4" spans="1:6" ht="33" customHeight="1">
      <c r="A4" s="37" t="s">
        <v>146</v>
      </c>
      <c r="B4" s="31" t="s">
        <v>57</v>
      </c>
      <c r="C4" s="27" t="s">
        <v>308</v>
      </c>
      <c r="D4" s="360" t="s">
        <v>345</v>
      </c>
      <c r="E4" s="142" t="s">
        <v>644</v>
      </c>
      <c r="F4" s="37" t="s">
        <v>184</v>
      </c>
    </row>
    <row r="5" spans="1:6" ht="21" customHeight="1">
      <c r="A5" s="37" t="s">
        <v>147</v>
      </c>
      <c r="B5" s="31" t="s">
        <v>56</v>
      </c>
      <c r="C5" s="27" t="s">
        <v>309</v>
      </c>
      <c r="D5" s="360" t="s">
        <v>65</v>
      </c>
      <c r="E5" s="143" t="s">
        <v>646</v>
      </c>
      <c r="F5" s="53" t="s">
        <v>153</v>
      </c>
    </row>
    <row r="6" spans="1:6" ht="21.75" customHeight="1">
      <c r="A6" s="37"/>
      <c r="B6" s="31"/>
      <c r="C6" s="27" t="s">
        <v>348</v>
      </c>
      <c r="D6" s="360" t="s">
        <v>645</v>
      </c>
      <c r="E6" s="30" t="s">
        <v>690</v>
      </c>
      <c r="F6" s="53" t="s">
        <v>582</v>
      </c>
    </row>
    <row r="7" spans="1:6" ht="47.25" customHeight="1">
      <c r="A7" s="37"/>
      <c r="B7" s="31"/>
      <c r="C7" s="27" t="s">
        <v>310</v>
      </c>
      <c r="D7" s="361" t="s">
        <v>649</v>
      </c>
      <c r="E7" s="30" t="s">
        <v>647</v>
      </c>
      <c r="F7" s="53" t="s">
        <v>648</v>
      </c>
    </row>
    <row r="8" spans="1:6" ht="80.25" customHeight="1">
      <c r="A8" s="36" t="s">
        <v>149</v>
      </c>
      <c r="B8" s="29" t="s">
        <v>150</v>
      </c>
      <c r="C8" s="27" t="s">
        <v>349</v>
      </c>
      <c r="D8" s="361" t="s">
        <v>555</v>
      </c>
      <c r="E8" s="30" t="s">
        <v>558</v>
      </c>
      <c r="F8" s="37" t="s">
        <v>145</v>
      </c>
    </row>
    <row r="9" spans="1:6" ht="16.5" customHeight="1">
      <c r="A9" s="36"/>
      <c r="B9" s="29"/>
      <c r="C9" s="27" t="s">
        <v>388</v>
      </c>
      <c r="D9" s="361" t="s">
        <v>590</v>
      </c>
      <c r="E9" s="30" t="s">
        <v>650</v>
      </c>
      <c r="F9" s="53" t="s">
        <v>591</v>
      </c>
    </row>
    <row r="10" spans="1:6" ht="29.25" customHeight="1">
      <c r="A10" s="36"/>
      <c r="B10" s="29"/>
      <c r="C10" s="27" t="s">
        <v>389</v>
      </c>
      <c r="D10" s="361" t="s">
        <v>547</v>
      </c>
      <c r="E10" s="30" t="s">
        <v>651</v>
      </c>
      <c r="F10" s="37" t="s">
        <v>548</v>
      </c>
    </row>
    <row r="11" spans="1:6" ht="64.5" customHeight="1">
      <c r="A11" s="36"/>
      <c r="B11" s="29"/>
      <c r="C11" s="27" t="s">
        <v>390</v>
      </c>
      <c r="D11" s="361" t="s">
        <v>134</v>
      </c>
      <c r="E11" s="30" t="s">
        <v>559</v>
      </c>
      <c r="F11" s="37" t="s">
        <v>146</v>
      </c>
    </row>
    <row r="12" spans="1:6" ht="68.25" customHeight="1">
      <c r="A12" s="36"/>
      <c r="B12" s="29"/>
      <c r="C12" s="27" t="s">
        <v>350</v>
      </c>
      <c r="D12" s="361" t="s">
        <v>56</v>
      </c>
      <c r="E12" s="30" t="s">
        <v>560</v>
      </c>
      <c r="F12" s="37" t="s">
        <v>147</v>
      </c>
    </row>
    <row r="13" spans="1:6" ht="33.75" customHeight="1">
      <c r="A13" s="36"/>
      <c r="B13" s="29"/>
      <c r="C13" s="27" t="s">
        <v>351</v>
      </c>
      <c r="D13" s="361" t="s">
        <v>64</v>
      </c>
      <c r="E13" s="30" t="s">
        <v>550</v>
      </c>
      <c r="F13" s="37" t="s">
        <v>191</v>
      </c>
    </row>
    <row r="14" spans="1:6" ht="36.75" customHeight="1">
      <c r="A14" s="36"/>
      <c r="B14" s="29"/>
      <c r="C14" s="27" t="s">
        <v>352</v>
      </c>
      <c r="D14" s="361" t="s">
        <v>556</v>
      </c>
      <c r="E14" s="30" t="s">
        <v>565</v>
      </c>
      <c r="F14" s="37" t="s">
        <v>208</v>
      </c>
    </row>
    <row r="15" spans="1:6" ht="48.75" customHeight="1">
      <c r="A15" s="36"/>
      <c r="B15" s="29"/>
      <c r="C15" s="27" t="s">
        <v>594</v>
      </c>
      <c r="D15" s="361" t="s">
        <v>562</v>
      </c>
      <c r="E15" s="30" t="s">
        <v>563</v>
      </c>
      <c r="F15" s="37" t="s">
        <v>259</v>
      </c>
    </row>
    <row r="16" spans="1:6" ht="36" customHeight="1">
      <c r="A16" s="36"/>
      <c r="B16" s="29"/>
      <c r="C16" s="27" t="s">
        <v>595</v>
      </c>
      <c r="D16" s="361" t="s">
        <v>592</v>
      </c>
      <c r="E16" s="30" t="s">
        <v>593</v>
      </c>
      <c r="F16" s="37" t="s">
        <v>208</v>
      </c>
    </row>
    <row r="17" spans="1:6" ht="30.75" customHeight="1">
      <c r="A17" s="36"/>
      <c r="B17" s="29"/>
      <c r="C17" s="27" t="s">
        <v>596</v>
      </c>
      <c r="D17" s="361" t="s">
        <v>597</v>
      </c>
      <c r="E17" s="30" t="s">
        <v>598</v>
      </c>
      <c r="F17" s="37" t="s">
        <v>259</v>
      </c>
    </row>
    <row r="18" spans="1:6" ht="64.5" customHeight="1">
      <c r="A18" s="36"/>
      <c r="B18" s="29"/>
      <c r="C18" s="27" t="s">
        <v>630</v>
      </c>
      <c r="D18" s="361" t="s">
        <v>589</v>
      </c>
      <c r="E18" s="30" t="s">
        <v>659</v>
      </c>
      <c r="F18" s="37" t="s">
        <v>557</v>
      </c>
    </row>
    <row r="19" spans="1:6" ht="33" customHeight="1">
      <c r="A19" s="36"/>
      <c r="B19" s="29"/>
      <c r="C19" s="27" t="s">
        <v>642</v>
      </c>
      <c r="D19" s="361" t="s">
        <v>96</v>
      </c>
      <c r="E19" s="30" t="s">
        <v>684</v>
      </c>
      <c r="F19" s="37" t="s">
        <v>584</v>
      </c>
    </row>
    <row r="20" spans="1:6" ht="30">
      <c r="A20" s="36"/>
      <c r="B20" s="29"/>
      <c r="C20" s="27" t="s">
        <v>637</v>
      </c>
      <c r="D20" s="403" t="s">
        <v>625</v>
      </c>
      <c r="E20" s="143" t="s">
        <v>629</v>
      </c>
      <c r="F20" s="37" t="s">
        <v>613</v>
      </c>
    </row>
    <row r="21" spans="1:6" ht="15.75">
      <c r="A21" s="36"/>
      <c r="B21" s="29"/>
      <c r="C21" s="27" t="s">
        <v>638</v>
      </c>
      <c r="D21" s="403" t="s">
        <v>616</v>
      </c>
      <c r="E21" s="30" t="s">
        <v>628</v>
      </c>
      <c r="F21" s="37" t="s">
        <v>614</v>
      </c>
    </row>
    <row r="22" spans="1:6" ht="33" customHeight="1">
      <c r="A22" s="36"/>
      <c r="B22" s="29"/>
      <c r="C22" s="27" t="s">
        <v>639</v>
      </c>
      <c r="D22" s="403" t="s">
        <v>640</v>
      </c>
      <c r="E22" s="143" t="s">
        <v>641</v>
      </c>
      <c r="F22" s="53" t="s">
        <v>615</v>
      </c>
    </row>
    <row r="23" spans="1:6" ht="51.75" customHeight="1">
      <c r="A23" s="36"/>
      <c r="B23" s="29"/>
      <c r="C23" s="134" t="s">
        <v>311</v>
      </c>
      <c r="D23" s="361" t="s">
        <v>61</v>
      </c>
      <c r="E23" s="30" t="s">
        <v>391</v>
      </c>
      <c r="F23" s="37" t="s">
        <v>252</v>
      </c>
    </row>
    <row r="24" spans="1:6" ht="30">
      <c r="A24" s="36"/>
      <c r="B24" s="29"/>
      <c r="C24" s="27" t="s">
        <v>312</v>
      </c>
      <c r="D24" s="361" t="s">
        <v>66</v>
      </c>
      <c r="E24" s="30" t="s">
        <v>513</v>
      </c>
      <c r="F24" s="37" t="s">
        <v>155</v>
      </c>
    </row>
    <row r="25" spans="1:6" ht="30">
      <c r="A25" s="37" t="s">
        <v>252</v>
      </c>
      <c r="B25" s="31" t="s">
        <v>61</v>
      </c>
      <c r="C25" s="27" t="s">
        <v>313</v>
      </c>
      <c r="D25" s="361" t="s">
        <v>67</v>
      </c>
      <c r="E25" s="30" t="s">
        <v>392</v>
      </c>
      <c r="F25" s="37" t="s">
        <v>159</v>
      </c>
    </row>
    <row r="26" spans="1:6" ht="30">
      <c r="A26" s="37"/>
      <c r="B26" s="31"/>
      <c r="C26" s="27" t="s">
        <v>314</v>
      </c>
      <c r="D26" s="361" t="s">
        <v>339</v>
      </c>
      <c r="E26" s="30" t="s">
        <v>398</v>
      </c>
      <c r="F26" s="32" t="s">
        <v>162</v>
      </c>
    </row>
    <row r="27" spans="1:6" ht="30">
      <c r="A27" s="37"/>
      <c r="B27" s="31"/>
      <c r="C27" s="27" t="s">
        <v>315</v>
      </c>
      <c r="D27" s="361" t="s">
        <v>62</v>
      </c>
      <c r="E27" s="30" t="s">
        <v>399</v>
      </c>
      <c r="F27" s="32" t="s">
        <v>163</v>
      </c>
    </row>
    <row r="28" spans="1:6" ht="30">
      <c r="A28" s="37"/>
      <c r="B28" s="31"/>
      <c r="C28" s="27" t="s">
        <v>316</v>
      </c>
      <c r="D28" s="361" t="s">
        <v>106</v>
      </c>
      <c r="E28" s="30" t="s">
        <v>400</v>
      </c>
      <c r="F28" s="32" t="s">
        <v>164</v>
      </c>
    </row>
    <row r="29" spans="1:6" ht="30">
      <c r="A29" s="32" t="s">
        <v>153</v>
      </c>
      <c r="B29" s="31" t="s">
        <v>65</v>
      </c>
      <c r="C29" s="27" t="s">
        <v>317</v>
      </c>
      <c r="D29" s="361" t="s">
        <v>63</v>
      </c>
      <c r="E29" s="30" t="s">
        <v>393</v>
      </c>
      <c r="F29" s="32" t="s">
        <v>256</v>
      </c>
    </row>
    <row r="30" spans="1:6" ht="30">
      <c r="A30" s="32" t="s">
        <v>191</v>
      </c>
      <c r="B30" s="31" t="s">
        <v>64</v>
      </c>
      <c r="C30" s="27" t="s">
        <v>318</v>
      </c>
      <c r="D30" s="361" t="s">
        <v>69</v>
      </c>
      <c r="E30" s="30" t="s">
        <v>394</v>
      </c>
      <c r="F30" s="32" t="s">
        <v>481</v>
      </c>
    </row>
    <row r="31" spans="1:6" ht="15">
      <c r="A31" s="32"/>
      <c r="B31" s="31"/>
      <c r="C31" s="27" t="s">
        <v>319</v>
      </c>
      <c r="D31" s="361" t="s">
        <v>225</v>
      </c>
      <c r="E31" s="30" t="s">
        <v>514</v>
      </c>
      <c r="F31" s="32" t="s">
        <v>201</v>
      </c>
    </row>
    <row r="32" spans="1:6" ht="15">
      <c r="A32" s="32"/>
      <c r="B32" s="31"/>
      <c r="C32" s="27" t="s">
        <v>320</v>
      </c>
      <c r="D32" s="361" t="s">
        <v>226</v>
      </c>
      <c r="E32" s="39" t="s">
        <v>456</v>
      </c>
      <c r="F32" s="32" t="s">
        <v>202</v>
      </c>
    </row>
    <row r="33" spans="1:6" ht="45">
      <c r="A33" s="32"/>
      <c r="B33" s="31"/>
      <c r="C33" s="27" t="s">
        <v>363</v>
      </c>
      <c r="D33" s="361" t="s">
        <v>212</v>
      </c>
      <c r="E33" s="30" t="s">
        <v>564</v>
      </c>
      <c r="F33" s="32" t="s">
        <v>203</v>
      </c>
    </row>
    <row r="34" spans="1:6" ht="45">
      <c r="A34" s="32"/>
      <c r="B34" s="31"/>
      <c r="C34" s="27" t="s">
        <v>321</v>
      </c>
      <c r="D34" s="361" t="s">
        <v>250</v>
      </c>
      <c r="E34" s="30" t="s">
        <v>492</v>
      </c>
      <c r="F34" s="32" t="s">
        <v>257</v>
      </c>
    </row>
    <row r="35" spans="1:6" ht="30">
      <c r="A35" s="32" t="s">
        <v>155</v>
      </c>
      <c r="B35" s="31" t="s">
        <v>66</v>
      </c>
      <c r="C35" s="27" t="s">
        <v>322</v>
      </c>
      <c r="D35" s="361" t="s">
        <v>126</v>
      </c>
      <c r="E35" s="30" t="s">
        <v>395</v>
      </c>
      <c r="F35" s="32" t="s">
        <v>204</v>
      </c>
    </row>
    <row r="36" spans="1:6" ht="60">
      <c r="A36" s="32"/>
      <c r="B36" s="31"/>
      <c r="C36" s="27" t="s">
        <v>364</v>
      </c>
      <c r="D36" s="361" t="s">
        <v>70</v>
      </c>
      <c r="E36" s="30" t="s">
        <v>396</v>
      </c>
      <c r="F36" s="32" t="s">
        <v>482</v>
      </c>
    </row>
    <row r="37" spans="1:6" ht="30">
      <c r="A37" s="32"/>
      <c r="B37" s="31"/>
      <c r="C37" s="27" t="s">
        <v>365</v>
      </c>
      <c r="D37" s="361" t="s">
        <v>75</v>
      </c>
      <c r="E37" s="30" t="s">
        <v>397</v>
      </c>
      <c r="F37" s="32" t="s">
        <v>483</v>
      </c>
    </row>
    <row r="38" spans="1:6" ht="45">
      <c r="A38" s="32" t="s">
        <v>165</v>
      </c>
      <c r="B38" s="31" t="s">
        <v>70</v>
      </c>
      <c r="C38" s="27" t="s">
        <v>366</v>
      </c>
      <c r="D38" s="361" t="s">
        <v>71</v>
      </c>
      <c r="E38" s="30" t="s">
        <v>401</v>
      </c>
      <c r="F38" s="32" t="s">
        <v>344</v>
      </c>
    </row>
    <row r="39" spans="1:6" ht="30">
      <c r="A39" s="35"/>
      <c r="B39" s="29"/>
      <c r="C39" s="27" t="s">
        <v>367</v>
      </c>
      <c r="D39" s="361" t="s">
        <v>454</v>
      </c>
      <c r="E39" s="39" t="s">
        <v>515</v>
      </c>
      <c r="F39" s="32" t="s">
        <v>581</v>
      </c>
    </row>
    <row r="40" spans="1:6" ht="15.75">
      <c r="A40" s="35"/>
      <c r="B40" s="29"/>
      <c r="C40" s="134" t="s">
        <v>652</v>
      </c>
      <c r="D40" s="360" t="s">
        <v>239</v>
      </c>
      <c r="E40" s="28" t="s">
        <v>525</v>
      </c>
      <c r="F40" s="32" t="s">
        <v>632</v>
      </c>
    </row>
    <row r="41" spans="1:6" ht="15.75">
      <c r="A41" s="35"/>
      <c r="B41" s="29"/>
      <c r="C41" s="134" t="s">
        <v>653</v>
      </c>
      <c r="D41" s="360" t="s">
        <v>336</v>
      </c>
      <c r="E41" s="28" t="s">
        <v>461</v>
      </c>
      <c r="F41" s="32" t="s">
        <v>633</v>
      </c>
    </row>
    <row r="42" spans="1:6" ht="30">
      <c r="A42" s="32" t="s">
        <v>200</v>
      </c>
      <c r="B42" s="31" t="s">
        <v>62</v>
      </c>
      <c r="C42" s="134" t="s">
        <v>368</v>
      </c>
      <c r="D42" s="361" t="s">
        <v>346</v>
      </c>
      <c r="E42" s="39" t="s">
        <v>402</v>
      </c>
      <c r="F42" s="32" t="s">
        <v>258</v>
      </c>
    </row>
    <row r="43" spans="1:6" ht="30">
      <c r="A43" s="35"/>
      <c r="B43" s="33"/>
      <c r="C43" s="27" t="s">
        <v>369</v>
      </c>
      <c r="D43" s="361" t="s">
        <v>138</v>
      </c>
      <c r="E43" s="39" t="s">
        <v>403</v>
      </c>
      <c r="F43" s="32" t="s">
        <v>205</v>
      </c>
    </row>
    <row r="44" spans="1:6" ht="15.75">
      <c r="A44" s="35"/>
      <c r="B44" s="33"/>
      <c r="C44" s="27" t="s">
        <v>370</v>
      </c>
      <c r="D44" s="361" t="s">
        <v>224</v>
      </c>
      <c r="E44" s="39" t="s">
        <v>438</v>
      </c>
      <c r="F44" s="32" t="s">
        <v>206</v>
      </c>
    </row>
    <row r="45" spans="1:6" ht="15.75">
      <c r="A45" s="35"/>
      <c r="B45" s="33"/>
      <c r="C45" s="27" t="s">
        <v>371</v>
      </c>
      <c r="D45" s="361" t="s">
        <v>216</v>
      </c>
      <c r="E45" s="39" t="s">
        <v>516</v>
      </c>
      <c r="F45" s="32" t="s">
        <v>207</v>
      </c>
    </row>
    <row r="46" spans="1:6" ht="30">
      <c r="A46" s="35"/>
      <c r="B46" s="33"/>
      <c r="C46" s="134" t="s">
        <v>372</v>
      </c>
      <c r="D46" s="361" t="s">
        <v>337</v>
      </c>
      <c r="E46" s="39" t="s">
        <v>517</v>
      </c>
      <c r="F46" s="32" t="s">
        <v>377</v>
      </c>
    </row>
    <row r="47" spans="1:6" ht="30">
      <c r="A47" s="32" t="s">
        <v>256</v>
      </c>
      <c r="B47" s="31" t="s">
        <v>106</v>
      </c>
      <c r="C47" s="27" t="s">
        <v>373</v>
      </c>
      <c r="D47" s="361" t="s">
        <v>72</v>
      </c>
      <c r="E47" s="39" t="s">
        <v>404</v>
      </c>
      <c r="F47" s="32" t="s">
        <v>209</v>
      </c>
    </row>
    <row r="48" spans="1:6" ht="15">
      <c r="A48" s="37" t="s">
        <v>201</v>
      </c>
      <c r="B48" s="31" t="s">
        <v>166</v>
      </c>
      <c r="C48" s="27" t="s">
        <v>374</v>
      </c>
      <c r="D48" s="361" t="s">
        <v>74</v>
      </c>
      <c r="E48" s="39" t="s">
        <v>552</v>
      </c>
      <c r="F48" s="32" t="s">
        <v>210</v>
      </c>
    </row>
    <row r="49" spans="1:6" ht="30">
      <c r="A49" s="37"/>
      <c r="B49" s="31"/>
      <c r="C49" s="27" t="s">
        <v>375</v>
      </c>
      <c r="D49" s="361" t="s">
        <v>73</v>
      </c>
      <c r="E49" s="39" t="s">
        <v>410</v>
      </c>
      <c r="F49" s="32" t="s">
        <v>211</v>
      </c>
    </row>
    <row r="50" spans="1:6" ht="30">
      <c r="A50" s="37"/>
      <c r="B50" s="31"/>
      <c r="C50" s="27" t="s">
        <v>387</v>
      </c>
      <c r="D50" s="361" t="s">
        <v>243</v>
      </c>
      <c r="E50" s="39" t="s">
        <v>480</v>
      </c>
      <c r="F50" s="32" t="s">
        <v>253</v>
      </c>
    </row>
    <row r="51" spans="1:6" ht="30">
      <c r="A51" s="37"/>
      <c r="B51" s="31"/>
      <c r="C51" s="27" t="s">
        <v>323</v>
      </c>
      <c r="D51" s="361" t="s">
        <v>229</v>
      </c>
      <c r="E51" s="39" t="s">
        <v>457</v>
      </c>
      <c r="F51" s="32" t="s">
        <v>255</v>
      </c>
    </row>
    <row r="52" spans="1:6" ht="15">
      <c r="A52" s="37"/>
      <c r="B52" s="31"/>
      <c r="C52" s="27" t="s">
        <v>324</v>
      </c>
      <c r="D52" s="361" t="s">
        <v>228</v>
      </c>
      <c r="E52" s="39" t="s">
        <v>458</v>
      </c>
      <c r="F52" s="32" t="s">
        <v>260</v>
      </c>
    </row>
    <row r="53" spans="1:6" ht="45">
      <c r="A53" s="32" t="s">
        <v>202</v>
      </c>
      <c r="B53" s="30" t="s">
        <v>195</v>
      </c>
      <c r="C53" s="27" t="s">
        <v>325</v>
      </c>
      <c r="D53" s="361" t="s">
        <v>79</v>
      </c>
      <c r="E53" s="39" t="s">
        <v>405</v>
      </c>
      <c r="F53" s="32" t="s">
        <v>262</v>
      </c>
    </row>
    <row r="54" spans="1:6" ht="47.25">
      <c r="A54" s="35" t="s">
        <v>187</v>
      </c>
      <c r="B54" s="33" t="s">
        <v>169</v>
      </c>
      <c r="C54" s="27" t="s">
        <v>376</v>
      </c>
      <c r="D54" s="361" t="s">
        <v>81</v>
      </c>
      <c r="E54" s="39" t="s">
        <v>406</v>
      </c>
      <c r="F54" s="32" t="s">
        <v>491</v>
      </c>
    </row>
    <row r="55" spans="1:6" ht="30">
      <c r="A55" s="32" t="s">
        <v>203</v>
      </c>
      <c r="B55" s="31" t="s">
        <v>250</v>
      </c>
      <c r="C55" s="27" t="s">
        <v>378</v>
      </c>
      <c r="D55" s="361" t="s">
        <v>247</v>
      </c>
      <c r="E55" s="39" t="s">
        <v>518</v>
      </c>
      <c r="F55" s="32" t="s">
        <v>264</v>
      </c>
    </row>
    <row r="56" spans="1:6" ht="30">
      <c r="A56" s="32" t="s">
        <v>257</v>
      </c>
      <c r="B56" s="31" t="s">
        <v>212</v>
      </c>
      <c r="C56" s="27" t="s">
        <v>379</v>
      </c>
      <c r="D56" s="361" t="s">
        <v>347</v>
      </c>
      <c r="E56" s="39" t="s">
        <v>407</v>
      </c>
      <c r="F56" s="32" t="s">
        <v>484</v>
      </c>
    </row>
    <row r="57" spans="1:6" ht="47.25">
      <c r="A57" s="35" t="s">
        <v>188</v>
      </c>
      <c r="B57" s="33" t="s">
        <v>170</v>
      </c>
      <c r="C57" s="27" t="s">
        <v>380</v>
      </c>
      <c r="D57" s="361" t="s">
        <v>76</v>
      </c>
      <c r="E57" s="39" t="s">
        <v>519</v>
      </c>
      <c r="F57" s="32" t="s">
        <v>485</v>
      </c>
    </row>
    <row r="58" spans="1:6" ht="15.75">
      <c r="A58" s="35"/>
      <c r="B58" s="33"/>
      <c r="C58" s="27" t="s">
        <v>382</v>
      </c>
      <c r="D58" s="361" t="s">
        <v>218</v>
      </c>
      <c r="E58" s="39" t="s">
        <v>429</v>
      </c>
      <c r="F58" s="32" t="s">
        <v>266</v>
      </c>
    </row>
    <row r="59" spans="1:6" ht="15.75">
      <c r="A59" s="35"/>
      <c r="B59" s="33"/>
      <c r="C59" s="27" t="s">
        <v>383</v>
      </c>
      <c r="D59" s="361" t="s">
        <v>235</v>
      </c>
      <c r="E59" s="39" t="s">
        <v>450</v>
      </c>
      <c r="F59" s="32" t="s">
        <v>268</v>
      </c>
    </row>
    <row r="60" spans="1:6" ht="15.75">
      <c r="A60" s="35"/>
      <c r="B60" s="33"/>
      <c r="C60" s="27" t="s">
        <v>384</v>
      </c>
      <c r="D60" s="361" t="s">
        <v>196</v>
      </c>
      <c r="E60" s="39" t="s">
        <v>424</v>
      </c>
      <c r="F60" s="32" t="s">
        <v>270</v>
      </c>
    </row>
    <row r="61" spans="1:6" ht="15.75">
      <c r="A61" s="35"/>
      <c r="B61" s="33"/>
      <c r="C61" s="27" t="s">
        <v>385</v>
      </c>
      <c r="D61" s="361" t="s">
        <v>231</v>
      </c>
      <c r="E61" s="39" t="s">
        <v>459</v>
      </c>
      <c r="F61" s="32" t="s">
        <v>272</v>
      </c>
    </row>
    <row r="62" spans="1:6" ht="15.75">
      <c r="A62" s="35"/>
      <c r="B62" s="33"/>
      <c r="C62" s="27" t="s">
        <v>386</v>
      </c>
      <c r="D62" s="361" t="s">
        <v>232</v>
      </c>
      <c r="E62" s="39" t="s">
        <v>460</v>
      </c>
      <c r="F62" s="32" t="s">
        <v>273</v>
      </c>
    </row>
    <row r="63" spans="1:6" ht="15.75">
      <c r="A63" s="35"/>
      <c r="B63" s="33"/>
      <c r="C63" s="27" t="s">
        <v>414</v>
      </c>
      <c r="D63" s="361" t="s">
        <v>236</v>
      </c>
      <c r="E63" s="39" t="s">
        <v>451</v>
      </c>
      <c r="F63" s="32" t="s">
        <v>275</v>
      </c>
    </row>
    <row r="64" spans="1:6" ht="15.75">
      <c r="A64" s="35"/>
      <c r="B64" s="33"/>
      <c r="C64" s="27" t="s">
        <v>415</v>
      </c>
      <c r="D64" s="361" t="s">
        <v>237</v>
      </c>
      <c r="E64" s="39" t="s">
        <v>520</v>
      </c>
      <c r="F64" s="32" t="s">
        <v>276</v>
      </c>
    </row>
    <row r="65" spans="1:6" ht="30">
      <c r="A65" s="35"/>
      <c r="B65" s="33"/>
      <c r="C65" s="27" t="s">
        <v>418</v>
      </c>
      <c r="D65" s="361" t="s">
        <v>89</v>
      </c>
      <c r="E65" s="39" t="s">
        <v>416</v>
      </c>
      <c r="F65" s="32" t="s">
        <v>278</v>
      </c>
    </row>
    <row r="66" spans="1:6" ht="30">
      <c r="A66" s="32" t="s">
        <v>204</v>
      </c>
      <c r="B66" s="31" t="s">
        <v>71</v>
      </c>
      <c r="C66" s="27" t="s">
        <v>419</v>
      </c>
      <c r="D66" s="361" t="s">
        <v>340</v>
      </c>
      <c r="E66" s="39" t="s">
        <v>521</v>
      </c>
      <c r="F66" s="32" t="s">
        <v>280</v>
      </c>
    </row>
    <row r="67" spans="1:6" ht="15">
      <c r="A67" s="32"/>
      <c r="B67" s="31"/>
      <c r="C67" s="27" t="s">
        <v>420</v>
      </c>
      <c r="D67" s="361" t="s">
        <v>95</v>
      </c>
      <c r="E67" s="39" t="s">
        <v>409</v>
      </c>
      <c r="F67" s="32" t="s">
        <v>281</v>
      </c>
    </row>
    <row r="68" spans="1:6" ht="30">
      <c r="A68" s="38" t="s">
        <v>60</v>
      </c>
      <c r="B68" s="34" t="s">
        <v>59</v>
      </c>
      <c r="C68" s="27" t="s">
        <v>421</v>
      </c>
      <c r="D68" s="361" t="s">
        <v>92</v>
      </c>
      <c r="E68" s="39" t="s">
        <v>408</v>
      </c>
      <c r="F68" s="32" t="s">
        <v>486</v>
      </c>
    </row>
    <row r="69" spans="1:6" ht="31.5">
      <c r="A69" s="35" t="s">
        <v>160</v>
      </c>
      <c r="B69" s="29" t="s">
        <v>171</v>
      </c>
      <c r="C69" s="27" t="s">
        <v>427</v>
      </c>
      <c r="D69" s="361" t="s">
        <v>244</v>
      </c>
      <c r="E69" s="39" t="s">
        <v>423</v>
      </c>
      <c r="F69" s="32" t="s">
        <v>283</v>
      </c>
    </row>
    <row r="70" spans="1:6" ht="15.75">
      <c r="A70" s="35"/>
      <c r="B70" s="29"/>
      <c r="C70" s="27" t="s">
        <v>428</v>
      </c>
      <c r="D70" s="361" t="s">
        <v>88</v>
      </c>
      <c r="E70" s="39" t="s">
        <v>412</v>
      </c>
      <c r="F70" s="32" t="s">
        <v>284</v>
      </c>
    </row>
    <row r="71" spans="1:6" ht="30">
      <c r="A71" s="35"/>
      <c r="B71" s="29"/>
      <c r="C71" s="27" t="s">
        <v>430</v>
      </c>
      <c r="D71" s="361" t="s">
        <v>93</v>
      </c>
      <c r="E71" s="39" t="s">
        <v>413</v>
      </c>
      <c r="F71" s="32" t="s">
        <v>487</v>
      </c>
    </row>
    <row r="72" spans="1:8" ht="30">
      <c r="A72" s="35"/>
      <c r="B72" s="29"/>
      <c r="C72" s="27" t="s">
        <v>431</v>
      </c>
      <c r="D72" s="361" t="s">
        <v>222</v>
      </c>
      <c r="E72" s="39" t="s">
        <v>522</v>
      </c>
      <c r="F72" s="37" t="s">
        <v>286</v>
      </c>
      <c r="H72" s="582"/>
    </row>
    <row r="73" spans="1:8" ht="30">
      <c r="A73" s="35"/>
      <c r="B73" s="29"/>
      <c r="C73" s="27" t="s">
        <v>432</v>
      </c>
      <c r="D73" s="361" t="s">
        <v>80</v>
      </c>
      <c r="E73" s="39" t="s">
        <v>553</v>
      </c>
      <c r="F73" s="32" t="s">
        <v>287</v>
      </c>
      <c r="H73" s="582"/>
    </row>
    <row r="74" spans="1:6" ht="30">
      <c r="A74" s="35"/>
      <c r="B74" s="29"/>
      <c r="C74" s="27" t="s">
        <v>433</v>
      </c>
      <c r="D74" s="361" t="s">
        <v>82</v>
      </c>
      <c r="E74" s="39" t="s">
        <v>417</v>
      </c>
      <c r="F74" s="32" t="s">
        <v>289</v>
      </c>
    </row>
    <row r="75" spans="1:6" ht="30">
      <c r="A75" s="35"/>
      <c r="B75" s="29"/>
      <c r="C75" s="27" t="s">
        <v>434</v>
      </c>
      <c r="D75" s="361" t="s">
        <v>246</v>
      </c>
      <c r="E75" s="39" t="s">
        <v>523</v>
      </c>
      <c r="F75" s="32" t="s">
        <v>290</v>
      </c>
    </row>
    <row r="76" spans="1:6" ht="15.75">
      <c r="A76" s="35"/>
      <c r="B76" s="29"/>
      <c r="C76" s="27" t="s">
        <v>435</v>
      </c>
      <c r="D76" s="361" t="s">
        <v>94</v>
      </c>
      <c r="E76" s="39" t="s">
        <v>422</v>
      </c>
      <c r="F76" s="32" t="s">
        <v>488</v>
      </c>
    </row>
    <row r="77" spans="1:6" ht="15.75">
      <c r="A77" s="35"/>
      <c r="B77" s="29"/>
      <c r="C77" s="27" t="s">
        <v>436</v>
      </c>
      <c r="D77" s="361" t="s">
        <v>331</v>
      </c>
      <c r="E77" s="39" t="s">
        <v>495</v>
      </c>
      <c r="F77" s="37" t="s">
        <v>292</v>
      </c>
    </row>
    <row r="78" spans="1:6" ht="30">
      <c r="A78" s="35"/>
      <c r="B78" s="29"/>
      <c r="C78" s="27" t="s">
        <v>437</v>
      </c>
      <c r="D78" s="361" t="s">
        <v>332</v>
      </c>
      <c r="E78" s="39" t="s">
        <v>494</v>
      </c>
      <c r="F78" s="37" t="s">
        <v>293</v>
      </c>
    </row>
    <row r="79" spans="1:6" ht="36" customHeight="1">
      <c r="A79" s="35"/>
      <c r="B79" s="29"/>
      <c r="C79" s="27" t="s">
        <v>439</v>
      </c>
      <c r="D79" s="361" t="s">
        <v>91</v>
      </c>
      <c r="E79" s="39" t="s">
        <v>425</v>
      </c>
      <c r="F79" s="32" t="s">
        <v>295</v>
      </c>
    </row>
    <row r="80" spans="1:6" ht="33" customHeight="1">
      <c r="A80" s="35"/>
      <c r="B80" s="29"/>
      <c r="C80" s="27" t="s">
        <v>440</v>
      </c>
      <c r="D80" s="360" t="s">
        <v>335</v>
      </c>
      <c r="E80" s="28" t="s">
        <v>426</v>
      </c>
      <c r="F80" s="32" t="s">
        <v>296</v>
      </c>
    </row>
    <row r="81" spans="1:6" ht="35.25" customHeight="1">
      <c r="A81" s="35"/>
      <c r="B81" s="29"/>
      <c r="C81" s="27" t="s">
        <v>441</v>
      </c>
      <c r="D81" s="360" t="s">
        <v>241</v>
      </c>
      <c r="E81" s="28" t="s">
        <v>462</v>
      </c>
      <c r="F81" s="32" t="s">
        <v>298</v>
      </c>
    </row>
    <row r="82" spans="1:6" ht="36" customHeight="1">
      <c r="A82" s="35"/>
      <c r="B82" s="29"/>
      <c r="C82" s="134" t="s">
        <v>442</v>
      </c>
      <c r="D82" s="360" t="s">
        <v>242</v>
      </c>
      <c r="E82" s="28" t="s">
        <v>452</v>
      </c>
      <c r="F82" s="32" t="s">
        <v>489</v>
      </c>
    </row>
    <row r="83" spans="1:6" ht="34.5" customHeight="1">
      <c r="A83" s="32" t="s">
        <v>258</v>
      </c>
      <c r="B83" s="31" t="s">
        <v>190</v>
      </c>
      <c r="C83" s="134" t="s">
        <v>443</v>
      </c>
      <c r="D83" s="360" t="s">
        <v>78</v>
      </c>
      <c r="E83" s="28" t="s">
        <v>524</v>
      </c>
      <c r="F83" s="32" t="s">
        <v>300</v>
      </c>
    </row>
    <row r="84" spans="1:6" ht="36" customHeight="1">
      <c r="A84" s="32"/>
      <c r="B84" s="31"/>
      <c r="C84" s="134" t="s">
        <v>444</v>
      </c>
      <c r="D84" s="360" t="s">
        <v>77</v>
      </c>
      <c r="E84" s="28" t="s">
        <v>411</v>
      </c>
      <c r="F84" s="32" t="s">
        <v>381</v>
      </c>
    </row>
    <row r="85" spans="1:6" ht="32.25" customHeight="1">
      <c r="A85" s="32" t="s">
        <v>205</v>
      </c>
      <c r="B85" s="31" t="s">
        <v>138</v>
      </c>
      <c r="C85" s="134" t="s">
        <v>445</v>
      </c>
      <c r="D85" s="360" t="s">
        <v>90</v>
      </c>
      <c r="E85" s="28" t="s">
        <v>554</v>
      </c>
      <c r="F85" s="32" t="s">
        <v>490</v>
      </c>
    </row>
    <row r="86" spans="1:6" ht="39" customHeight="1">
      <c r="A86" s="32" t="s">
        <v>278</v>
      </c>
      <c r="B86" s="31" t="s">
        <v>218</v>
      </c>
      <c r="C86" s="134" t="s">
        <v>446</v>
      </c>
      <c r="D86" s="360" t="s">
        <v>220</v>
      </c>
      <c r="E86" s="39" t="s">
        <v>493</v>
      </c>
      <c r="F86" s="37" t="s">
        <v>302</v>
      </c>
    </row>
    <row r="87" spans="1:6" ht="29.25" customHeight="1">
      <c r="A87" s="35" t="s">
        <v>279</v>
      </c>
      <c r="B87" s="33" t="s">
        <v>248</v>
      </c>
      <c r="C87" s="134" t="s">
        <v>447</v>
      </c>
      <c r="D87" s="360" t="s">
        <v>333</v>
      </c>
      <c r="E87" s="39" t="s">
        <v>463</v>
      </c>
      <c r="F87" s="37" t="s">
        <v>303</v>
      </c>
    </row>
    <row r="88" spans="1:6" ht="35.25" customHeight="1">
      <c r="A88" s="32" t="s">
        <v>296</v>
      </c>
      <c r="B88" s="31" t="s">
        <v>228</v>
      </c>
      <c r="C88" s="134" t="s">
        <v>448</v>
      </c>
      <c r="D88" s="360" t="s">
        <v>118</v>
      </c>
      <c r="E88" s="28" t="s">
        <v>453</v>
      </c>
      <c r="F88" s="32" t="s">
        <v>578</v>
      </c>
    </row>
    <row r="89" spans="1:6" ht="21.75" customHeight="1">
      <c r="A89" s="35" t="s">
        <v>297</v>
      </c>
      <c r="B89" s="33" t="s">
        <v>230</v>
      </c>
      <c r="C89" s="134" t="s">
        <v>449</v>
      </c>
      <c r="D89" s="360" t="s">
        <v>183</v>
      </c>
      <c r="E89" s="28" t="s">
        <v>455</v>
      </c>
      <c r="F89" s="32" t="s">
        <v>583</v>
      </c>
    </row>
  </sheetData>
  <sheetProtection/>
  <mergeCells count="2">
    <mergeCell ref="B1:F1"/>
    <mergeCell ref="H72:H73"/>
  </mergeCells>
  <conditionalFormatting sqref="A68:B68">
    <cfRule type="cellIs" priority="4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H98"/>
  <sheetViews>
    <sheetView showGridLines="0" zoomScale="60" zoomScaleNormal="60" zoomScalePageLayoutView="0" workbookViewId="0" topLeftCell="A1">
      <selection activeCell="AE33" sqref="AE33"/>
    </sheetView>
  </sheetViews>
  <sheetFormatPr defaultColWidth="9.140625" defaultRowHeight="12.75"/>
  <cols>
    <col min="2" max="2" width="7.7109375" style="0" customWidth="1"/>
    <col min="9" max="9" width="34.421875" style="0" customWidth="1"/>
    <col min="11" max="11" width="4.421875" style="0" customWidth="1"/>
    <col min="12" max="12" width="11.57421875" style="0" customWidth="1"/>
    <col min="22" max="22" width="14.140625" style="0" customWidth="1"/>
    <col min="25" max="25" width="4.57421875" style="0" customWidth="1"/>
    <col min="26" max="26" width="5.140625" style="0" customWidth="1"/>
  </cols>
  <sheetData>
    <row r="1" spans="1:24" ht="25.5" customHeight="1">
      <c r="A1" s="584" t="s">
        <v>685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483"/>
    </row>
    <row r="2" spans="1:25" ht="23.25">
      <c r="A2" s="484" t="s">
        <v>510</v>
      </c>
      <c r="B2" s="485"/>
      <c r="C2" s="483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9"/>
    </row>
    <row r="3" spans="1:25" ht="29.25" customHeight="1">
      <c r="A3" s="486" t="s">
        <v>526</v>
      </c>
      <c r="B3" s="485"/>
      <c r="C3" s="483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9"/>
    </row>
    <row r="4" spans="1:25" ht="27.75" customHeight="1">
      <c r="A4" s="484" t="s">
        <v>549</v>
      </c>
      <c r="B4" s="485"/>
      <c r="C4" s="483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9"/>
    </row>
    <row r="5" spans="1:25" ht="23.25">
      <c r="A5" s="484" t="s">
        <v>511</v>
      </c>
      <c r="B5" s="485"/>
      <c r="C5" s="483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9"/>
    </row>
    <row r="6" spans="1:25" ht="23.25">
      <c r="A6" s="484" t="s">
        <v>512</v>
      </c>
      <c r="B6" s="485"/>
      <c r="C6" s="483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9"/>
    </row>
    <row r="7" spans="1:25" ht="28.5" customHeight="1">
      <c r="A7" s="484" t="s">
        <v>534</v>
      </c>
      <c r="B7" s="485"/>
      <c r="C7" s="487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9"/>
    </row>
    <row r="8" spans="1:25" ht="24.75" customHeight="1">
      <c r="A8" s="484" t="s">
        <v>535</v>
      </c>
      <c r="B8" s="485"/>
      <c r="C8" s="487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9"/>
    </row>
    <row r="9" spans="1:25" ht="26.25" customHeight="1">
      <c r="A9" s="484" t="s">
        <v>465</v>
      </c>
      <c r="B9" s="485"/>
      <c r="C9" s="487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9"/>
    </row>
    <row r="10" spans="1:25" ht="57.75" customHeight="1">
      <c r="A10" s="584" t="s">
        <v>686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49"/>
    </row>
    <row r="11" spans="1:25" ht="20.25">
      <c r="A11" s="90"/>
      <c r="B11" s="48"/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9"/>
    </row>
    <row r="12" spans="1:25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9"/>
    </row>
    <row r="13" spans="1:25" ht="20.25">
      <c r="A13" s="480" t="s">
        <v>466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480" t="s">
        <v>466</v>
      </c>
      <c r="N13" s="90"/>
      <c r="O13" s="90"/>
      <c r="P13" s="90"/>
      <c r="Q13" s="90"/>
      <c r="R13" s="90"/>
      <c r="S13" s="90"/>
      <c r="T13" s="90"/>
      <c r="U13" s="90"/>
      <c r="V13" s="90"/>
      <c r="W13" s="47"/>
      <c r="X13" s="47"/>
      <c r="Y13" s="49"/>
    </row>
    <row r="14" spans="1:25" ht="19.5" customHeight="1">
      <c r="A14" s="90" t="s">
        <v>601</v>
      </c>
      <c r="B14" s="481"/>
      <c r="C14" s="481"/>
      <c r="D14" s="481"/>
      <c r="E14" s="481"/>
      <c r="F14" s="481"/>
      <c r="G14" s="90"/>
      <c r="H14" s="90"/>
      <c r="I14" s="90"/>
      <c r="J14" s="90"/>
      <c r="K14" s="90"/>
      <c r="L14" s="90"/>
      <c r="M14" s="90" t="s">
        <v>467</v>
      </c>
      <c r="N14" s="90"/>
      <c r="O14" s="90"/>
      <c r="P14" s="90"/>
      <c r="Q14" s="90"/>
      <c r="R14" s="90"/>
      <c r="S14" s="90"/>
      <c r="T14" s="90"/>
      <c r="U14" s="90"/>
      <c r="V14" s="90"/>
      <c r="W14" s="47"/>
      <c r="X14" s="47"/>
      <c r="Y14" s="49"/>
    </row>
    <row r="15" spans="1:25" ht="19.5" customHeight="1">
      <c r="A15" s="91" t="s">
        <v>469</v>
      </c>
      <c r="B15" s="481"/>
      <c r="C15" s="481"/>
      <c r="D15" s="481"/>
      <c r="E15" s="481"/>
      <c r="F15" s="90" t="s">
        <v>602</v>
      </c>
      <c r="G15" s="90"/>
      <c r="H15" s="90"/>
      <c r="I15" s="90"/>
      <c r="J15" s="90"/>
      <c r="K15" s="90"/>
      <c r="L15" s="90"/>
      <c r="M15" s="90" t="s">
        <v>468</v>
      </c>
      <c r="N15" s="90"/>
      <c r="O15" s="90"/>
      <c r="P15" s="90"/>
      <c r="Q15" s="90"/>
      <c r="R15" s="90"/>
      <c r="S15" s="90"/>
      <c r="T15" s="90"/>
      <c r="U15" s="90"/>
      <c r="V15" s="90"/>
      <c r="W15" s="47"/>
      <c r="X15" s="47"/>
      <c r="Y15" s="49"/>
    </row>
    <row r="16" spans="1:25" ht="24" customHeight="1">
      <c r="A16" s="90" t="s">
        <v>600</v>
      </c>
      <c r="B16" s="482"/>
      <c r="C16" s="482"/>
      <c r="D16" s="482"/>
      <c r="E16" s="482"/>
      <c r="F16" s="90"/>
      <c r="G16" s="90"/>
      <c r="H16" s="90"/>
      <c r="I16" s="90"/>
      <c r="J16" s="90"/>
      <c r="K16" s="90"/>
      <c r="L16" s="90"/>
      <c r="M16" s="91" t="s">
        <v>469</v>
      </c>
      <c r="N16" s="90"/>
      <c r="O16" s="90"/>
      <c r="P16" s="90"/>
      <c r="Q16" s="90"/>
      <c r="R16" s="91" t="s">
        <v>470</v>
      </c>
      <c r="S16" s="90"/>
      <c r="T16" s="90"/>
      <c r="U16" s="90"/>
      <c r="V16" s="90"/>
      <c r="W16" s="47"/>
      <c r="X16" s="47"/>
      <c r="Y16" s="49"/>
    </row>
    <row r="17" spans="1:25" ht="21.7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 t="s">
        <v>600</v>
      </c>
      <c r="N17" s="90"/>
      <c r="O17" s="90"/>
      <c r="P17" s="90"/>
      <c r="Q17" s="90"/>
      <c r="R17" s="90"/>
      <c r="S17" s="90"/>
      <c r="T17" s="90"/>
      <c r="U17" s="90"/>
      <c r="V17" s="90"/>
      <c r="X17" s="47"/>
      <c r="Y17" s="49"/>
    </row>
    <row r="18" spans="1:25" ht="21.7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X18" s="47"/>
      <c r="Y18" s="49"/>
    </row>
    <row r="19" spans="1:25" ht="21.75" customHeight="1">
      <c r="A19" s="90" t="s">
        <v>603</v>
      </c>
      <c r="B19" s="481"/>
      <c r="C19" s="481"/>
      <c r="D19" s="481"/>
      <c r="E19" s="481"/>
      <c r="F19" s="90"/>
      <c r="G19" s="90"/>
      <c r="H19" s="90"/>
      <c r="I19" s="90"/>
      <c r="J19" s="90"/>
      <c r="K19" s="90"/>
      <c r="L19" s="90"/>
      <c r="M19" s="90" t="s">
        <v>472</v>
      </c>
      <c r="N19" s="90"/>
      <c r="O19" s="90"/>
      <c r="P19" s="90"/>
      <c r="Q19" s="90"/>
      <c r="R19" s="90"/>
      <c r="S19" s="90"/>
      <c r="T19" s="90"/>
      <c r="U19" s="90"/>
      <c r="V19" s="90"/>
      <c r="X19" s="47"/>
      <c r="Y19" s="49"/>
    </row>
    <row r="20" spans="1:25" ht="21.75" customHeight="1">
      <c r="A20" s="90" t="s">
        <v>604</v>
      </c>
      <c r="B20" s="482"/>
      <c r="C20" s="482"/>
      <c r="D20" s="482"/>
      <c r="E20" s="482"/>
      <c r="F20" s="90"/>
      <c r="G20" s="90"/>
      <c r="H20" s="90"/>
      <c r="I20" s="90"/>
      <c r="J20" s="90"/>
      <c r="K20" s="90"/>
      <c r="L20" s="90"/>
      <c r="M20" s="90" t="s">
        <v>473</v>
      </c>
      <c r="N20" s="90"/>
      <c r="O20" s="90"/>
      <c r="P20" s="90"/>
      <c r="Q20" s="90"/>
      <c r="R20" s="90"/>
      <c r="S20" s="90"/>
      <c r="T20" s="90"/>
      <c r="U20" s="90"/>
      <c r="V20" s="90"/>
      <c r="X20" s="47"/>
      <c r="Y20" s="49"/>
    </row>
    <row r="21" spans="1:25" ht="21.75" customHeight="1">
      <c r="A21" s="91" t="s">
        <v>469</v>
      </c>
      <c r="B21" s="482"/>
      <c r="C21" s="482"/>
      <c r="D21" s="482"/>
      <c r="E21" s="482"/>
      <c r="F21" s="90" t="s">
        <v>605</v>
      </c>
      <c r="G21" s="90"/>
      <c r="H21" s="90"/>
      <c r="I21" s="90"/>
      <c r="J21" s="90"/>
      <c r="K21" s="90"/>
      <c r="L21" s="90"/>
      <c r="M21" s="91" t="s">
        <v>469</v>
      </c>
      <c r="N21" s="90"/>
      <c r="O21" s="90"/>
      <c r="P21" s="90"/>
      <c r="Q21" s="90"/>
      <c r="R21" s="91" t="s">
        <v>474</v>
      </c>
      <c r="S21" s="90"/>
      <c r="T21" s="90"/>
      <c r="U21" s="90"/>
      <c r="V21" s="90"/>
      <c r="X21" s="47"/>
      <c r="Y21" s="49"/>
    </row>
    <row r="22" spans="1:25" ht="18.75" customHeight="1">
      <c r="A22" s="90" t="s">
        <v>600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 t="s">
        <v>600</v>
      </c>
      <c r="N22" s="90"/>
      <c r="O22" s="90"/>
      <c r="P22" s="90"/>
      <c r="Q22" s="90"/>
      <c r="R22" s="90"/>
      <c r="S22" s="90"/>
      <c r="T22" s="90"/>
      <c r="U22" s="90"/>
      <c r="V22" s="90"/>
      <c r="W22" s="47"/>
      <c r="X22" s="47"/>
      <c r="Y22" s="49"/>
    </row>
    <row r="23" spans="1:25" ht="18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47"/>
      <c r="X23" s="47"/>
      <c r="Y23" s="49"/>
    </row>
    <row r="24" spans="1:25" ht="20.25" customHeight="1">
      <c r="A24" s="90"/>
      <c r="B24" s="91"/>
      <c r="C24" s="91"/>
      <c r="D24" s="91"/>
      <c r="E24" s="91"/>
      <c r="F24" s="90"/>
      <c r="G24" s="90"/>
      <c r="H24" s="90"/>
      <c r="I24" s="90"/>
      <c r="J24" s="90"/>
      <c r="K24" s="90"/>
      <c r="L24" s="90"/>
      <c r="M24" s="90" t="s">
        <v>606</v>
      </c>
      <c r="N24" s="90"/>
      <c r="O24" s="90"/>
      <c r="P24" s="90"/>
      <c r="Q24" s="90"/>
      <c r="R24" s="90"/>
      <c r="S24" s="90"/>
      <c r="T24" s="90"/>
      <c r="U24" s="90"/>
      <c r="V24" s="90"/>
      <c r="W24" s="47"/>
      <c r="X24" s="47"/>
      <c r="Y24" s="49"/>
    </row>
    <row r="25" spans="1:25" ht="24.75" customHeight="1">
      <c r="A25" s="90" t="s">
        <v>608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1" t="s">
        <v>469</v>
      </c>
      <c r="N25" s="90"/>
      <c r="O25" s="90"/>
      <c r="P25" s="90"/>
      <c r="Q25" s="90"/>
      <c r="R25" s="91" t="s">
        <v>607</v>
      </c>
      <c r="S25" s="90"/>
      <c r="T25" s="90"/>
      <c r="U25" s="90"/>
      <c r="V25" s="90"/>
      <c r="W25" s="47"/>
      <c r="X25" s="47"/>
      <c r="Y25" s="49"/>
    </row>
    <row r="26" spans="1:25" ht="27.75" customHeight="1">
      <c r="A26" s="91" t="s">
        <v>469</v>
      </c>
      <c r="B26" s="90"/>
      <c r="C26" s="90"/>
      <c r="D26" s="90"/>
      <c r="E26" s="90"/>
      <c r="F26" s="90" t="s">
        <v>609</v>
      </c>
      <c r="G26" s="90"/>
      <c r="H26" s="90"/>
      <c r="I26" s="90"/>
      <c r="J26" s="90"/>
      <c r="K26" s="90"/>
      <c r="L26" s="90"/>
      <c r="M26" s="90" t="s">
        <v>600</v>
      </c>
      <c r="N26" s="90"/>
      <c r="O26" s="90"/>
      <c r="P26" s="90"/>
      <c r="Q26" s="90"/>
      <c r="R26" s="90"/>
      <c r="S26" s="90"/>
      <c r="T26" s="90"/>
      <c r="U26" s="90"/>
      <c r="V26" s="90"/>
      <c r="W26" s="47"/>
      <c r="X26" s="47"/>
      <c r="Y26" s="49"/>
    </row>
    <row r="27" spans="1:25" ht="22.5" customHeight="1">
      <c r="A27" s="90" t="s">
        <v>600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47"/>
      <c r="X27" s="47"/>
      <c r="Y27" s="49"/>
    </row>
    <row r="28" spans="1:25" ht="20.2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47"/>
      <c r="X28" s="47"/>
      <c r="Y28" s="49"/>
    </row>
    <row r="29" spans="1:25" ht="42.75" customHeight="1">
      <c r="A29" s="583" t="s">
        <v>610</v>
      </c>
      <c r="B29" s="583"/>
      <c r="C29" s="583"/>
      <c r="D29" s="583"/>
      <c r="E29" s="583"/>
      <c r="F29" s="583"/>
      <c r="G29" s="583"/>
      <c r="H29" s="583"/>
      <c r="I29" s="583"/>
      <c r="J29" s="583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47"/>
      <c r="X29" s="47"/>
      <c r="Y29" s="49"/>
    </row>
    <row r="30" spans="1:25" ht="22.5" customHeight="1">
      <c r="A30" s="24" t="s">
        <v>691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480"/>
      <c r="N30" s="90"/>
      <c r="O30" s="90"/>
      <c r="P30" s="90"/>
      <c r="Q30" s="90"/>
      <c r="R30" s="90"/>
      <c r="S30" s="90"/>
      <c r="T30" s="90"/>
      <c r="U30" s="90"/>
      <c r="V30" s="90"/>
      <c r="W30" s="47"/>
      <c r="X30" s="47"/>
      <c r="Y30" s="378"/>
    </row>
    <row r="31" spans="1:34" ht="18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</row>
    <row r="32" spans="2:34" ht="20.25">
      <c r="B32" s="24"/>
      <c r="C32" s="24"/>
      <c r="D32" s="92"/>
      <c r="E32" s="92"/>
      <c r="F32" s="90"/>
      <c r="G32" s="90"/>
      <c r="H32" s="90"/>
      <c r="I32" s="90"/>
      <c r="J32" s="90"/>
      <c r="K32" s="90"/>
      <c r="L32" s="90"/>
      <c r="M32" s="47"/>
      <c r="N32" s="47"/>
      <c r="O32" s="47"/>
      <c r="P32" s="47"/>
      <c r="Q32" s="47"/>
      <c r="R32" s="47"/>
      <c r="S32" s="47"/>
      <c r="T32" s="47"/>
      <c r="U32" s="47"/>
      <c r="V32" s="90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pans="1:34" ht="20.25">
      <c r="A33" s="90"/>
      <c r="B33" s="90"/>
      <c r="C33" s="90"/>
      <c r="D33" s="91"/>
      <c r="E33" s="91"/>
      <c r="F33" s="90"/>
      <c r="G33" s="90"/>
      <c r="H33" s="90"/>
      <c r="I33" s="90"/>
      <c r="J33" s="90"/>
      <c r="K33" s="90"/>
      <c r="L33" s="90"/>
      <c r="M33" s="355"/>
      <c r="N33" s="47"/>
      <c r="O33" s="47"/>
      <c r="P33" s="47"/>
      <c r="Q33" s="47"/>
      <c r="R33" s="47"/>
      <c r="S33" s="47"/>
      <c r="T33" s="47"/>
      <c r="U33" s="47"/>
      <c r="V33" s="90"/>
      <c r="W33" s="47"/>
      <c r="X33" s="47"/>
      <c r="Y33" s="355"/>
      <c r="Z33" s="47"/>
      <c r="AA33" s="47"/>
      <c r="AB33" s="47"/>
      <c r="AC33" s="47"/>
      <c r="AD33" s="47"/>
      <c r="AE33" s="47"/>
      <c r="AF33" s="47"/>
      <c r="AG33" s="47"/>
      <c r="AH33" s="47"/>
    </row>
    <row r="34" spans="1:34" ht="20.2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355"/>
      <c r="N34" s="47"/>
      <c r="O34" s="47"/>
      <c r="P34" s="47"/>
      <c r="Q34" s="47"/>
      <c r="R34" s="355"/>
      <c r="S34" s="47"/>
      <c r="T34" s="47"/>
      <c r="U34" s="47"/>
      <c r="V34" s="90"/>
      <c r="W34" s="47"/>
      <c r="X34" s="47"/>
      <c r="Y34" s="47"/>
      <c r="Z34" s="47"/>
      <c r="AA34" s="47"/>
      <c r="AB34" s="47"/>
      <c r="AC34" s="47"/>
      <c r="AD34" s="355"/>
      <c r="AE34" s="47"/>
      <c r="AF34" s="47"/>
      <c r="AG34" s="47"/>
      <c r="AH34" s="47"/>
    </row>
    <row r="35" spans="1:34" ht="20.25" hidden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47" t="s">
        <v>600</v>
      </c>
      <c r="N35" s="47"/>
      <c r="O35" s="47"/>
      <c r="P35" s="47"/>
      <c r="Q35" s="47"/>
      <c r="R35" s="47"/>
      <c r="S35" s="47"/>
      <c r="T35" s="47"/>
      <c r="U35" s="47"/>
      <c r="V35" s="90"/>
      <c r="Z35" s="47"/>
      <c r="AA35" s="47"/>
      <c r="AB35" s="47"/>
      <c r="AC35" s="47"/>
      <c r="AD35" s="47"/>
      <c r="AE35" s="47"/>
      <c r="AF35" s="47"/>
      <c r="AG35" s="47"/>
      <c r="AH35" s="47"/>
    </row>
    <row r="36" spans="1:25" ht="20.25" hidden="1">
      <c r="A36" s="24" t="s">
        <v>611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356"/>
      <c r="X36" s="356"/>
      <c r="Y36" s="356"/>
    </row>
    <row r="37" spans="1:25" ht="20.25" hidden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357"/>
      <c r="O37" s="357"/>
      <c r="P37" s="357"/>
      <c r="Q37" s="357"/>
      <c r="R37" s="357"/>
      <c r="S37" s="24"/>
      <c r="T37" s="24"/>
      <c r="U37" s="24"/>
      <c r="V37" s="24"/>
      <c r="W37" s="356"/>
      <c r="X37" s="356"/>
      <c r="Y37" s="356"/>
    </row>
    <row r="38" spans="1:25" ht="20.25" hidden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57"/>
      <c r="O38" s="357"/>
      <c r="P38" s="357"/>
      <c r="Q38" s="357"/>
      <c r="R38" s="357"/>
      <c r="S38" s="24"/>
      <c r="T38" s="24"/>
      <c r="U38" s="24"/>
      <c r="V38" s="24"/>
      <c r="W38" s="356"/>
      <c r="X38" s="356"/>
      <c r="Y38" s="356"/>
    </row>
    <row r="39" spans="1:25" ht="20.25" hidden="1">
      <c r="A39" s="358" t="s">
        <v>466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358" t="s">
        <v>466</v>
      </c>
      <c r="N39" s="24"/>
      <c r="O39" s="357"/>
      <c r="P39" s="357"/>
      <c r="Q39" s="357"/>
      <c r="R39" s="357"/>
      <c r="S39" s="24"/>
      <c r="T39" s="24"/>
      <c r="U39" s="24"/>
      <c r="V39" s="24"/>
      <c r="W39" s="356"/>
      <c r="X39" s="356"/>
      <c r="Y39" s="356"/>
    </row>
    <row r="40" spans="1:25" ht="20.25" hidden="1">
      <c r="A40" s="24" t="s">
        <v>467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 t="s">
        <v>472</v>
      </c>
      <c r="N40" s="357"/>
      <c r="O40" s="357"/>
      <c r="P40" s="357"/>
      <c r="Q40" s="357"/>
      <c r="R40" s="357"/>
      <c r="S40" s="24"/>
      <c r="T40" s="24"/>
      <c r="U40" s="24"/>
      <c r="V40" s="24"/>
      <c r="W40" s="356"/>
      <c r="X40" s="356"/>
      <c r="Y40" s="356"/>
    </row>
    <row r="41" spans="1:25" ht="20.25" hidden="1">
      <c r="A41" s="24" t="s">
        <v>468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 t="s">
        <v>473</v>
      </c>
      <c r="N41" s="357"/>
      <c r="O41" s="357"/>
      <c r="P41" s="357"/>
      <c r="Q41" s="357"/>
      <c r="R41" s="357"/>
      <c r="S41" s="24"/>
      <c r="T41" s="24"/>
      <c r="U41" s="24"/>
      <c r="V41" s="24"/>
      <c r="W41" s="356"/>
      <c r="X41" s="356"/>
      <c r="Y41" s="356"/>
    </row>
    <row r="42" spans="1:25" ht="20.25" hidden="1">
      <c r="A42" s="92" t="s">
        <v>469</v>
      </c>
      <c r="B42" s="24"/>
      <c r="C42" s="24"/>
      <c r="D42" s="24"/>
      <c r="E42" s="24"/>
      <c r="F42" s="92" t="s">
        <v>470</v>
      </c>
      <c r="G42" s="24"/>
      <c r="H42" s="24"/>
      <c r="I42" s="24"/>
      <c r="J42" s="24"/>
      <c r="K42" s="24"/>
      <c r="L42" s="24"/>
      <c r="M42" s="92" t="s">
        <v>469</v>
      </c>
      <c r="N42" s="357"/>
      <c r="O42" s="357"/>
      <c r="P42" s="357"/>
      <c r="Q42" s="357"/>
      <c r="R42" s="92" t="s">
        <v>474</v>
      </c>
      <c r="S42" s="24"/>
      <c r="T42" s="24"/>
      <c r="U42" s="24"/>
      <c r="V42" s="24"/>
      <c r="W42" s="356"/>
      <c r="X42" s="356"/>
      <c r="Y42" s="356"/>
    </row>
    <row r="43" spans="1:25" ht="20.25" hidden="1">
      <c r="A43" s="24" t="s">
        <v>471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 t="s">
        <v>471</v>
      </c>
      <c r="N43" s="357"/>
      <c r="O43" s="357"/>
      <c r="P43" s="357"/>
      <c r="Q43" s="357"/>
      <c r="R43" s="357"/>
      <c r="S43" s="24"/>
      <c r="T43" s="24"/>
      <c r="U43" s="24"/>
      <c r="V43" s="24"/>
      <c r="W43" s="356"/>
      <c r="X43" s="356"/>
      <c r="Y43" s="356"/>
    </row>
    <row r="44" spans="14:18" ht="15" hidden="1">
      <c r="N44" s="51"/>
      <c r="O44" s="51"/>
      <c r="P44" s="51"/>
      <c r="Q44" s="2"/>
      <c r="R44" s="2"/>
    </row>
    <row r="45" spans="14:18" ht="15">
      <c r="N45" s="51"/>
      <c r="O45" s="51"/>
      <c r="P45" s="51"/>
      <c r="Q45" s="2"/>
      <c r="R45" s="2"/>
    </row>
    <row r="46" spans="14:18" ht="15">
      <c r="N46" s="51"/>
      <c r="O46" s="51"/>
      <c r="P46" s="51"/>
      <c r="Q46" s="2"/>
      <c r="R46" s="2"/>
    </row>
    <row r="47" spans="14:18" ht="15">
      <c r="N47" s="51"/>
      <c r="O47" s="51"/>
      <c r="P47" s="51"/>
      <c r="Q47" s="2"/>
      <c r="R47" s="2"/>
    </row>
    <row r="48" spans="14:18" ht="15">
      <c r="N48" s="51"/>
      <c r="O48" s="51"/>
      <c r="P48" s="51"/>
      <c r="Q48" s="2"/>
      <c r="R48" s="2"/>
    </row>
    <row r="49" spans="14:18" ht="15">
      <c r="N49" s="51"/>
      <c r="O49" s="51"/>
      <c r="P49" s="51"/>
      <c r="Q49" s="2"/>
      <c r="R49" s="2"/>
    </row>
    <row r="50" spans="14:18" ht="15">
      <c r="N50" s="51"/>
      <c r="O50" s="51"/>
      <c r="P50" s="51"/>
      <c r="Q50" s="2"/>
      <c r="R50" s="2"/>
    </row>
    <row r="51" spans="14:18" ht="15">
      <c r="N51" s="51"/>
      <c r="O51" s="51"/>
      <c r="P51" s="51"/>
      <c r="Q51" s="2"/>
      <c r="R51" s="2"/>
    </row>
    <row r="52" spans="14:18" ht="15">
      <c r="N52" s="51"/>
      <c r="O52" s="51"/>
      <c r="P52" s="51"/>
      <c r="Q52" s="2"/>
      <c r="R52" s="2"/>
    </row>
    <row r="53" spans="1:18" ht="18" hidden="1">
      <c r="A53" s="378" t="s">
        <v>466</v>
      </c>
      <c r="B53" s="47"/>
      <c r="C53" s="47"/>
      <c r="D53" s="47"/>
      <c r="E53" s="47"/>
      <c r="F53" s="47"/>
      <c r="G53" s="47"/>
      <c r="H53" s="47"/>
      <c r="I53" s="47"/>
      <c r="J53" s="378" t="s">
        <v>466</v>
      </c>
      <c r="N53" s="51"/>
      <c r="O53" s="51"/>
      <c r="P53" s="51"/>
      <c r="Q53" s="2"/>
      <c r="R53" s="2"/>
    </row>
    <row r="54" spans="1:19" ht="18" hidden="1">
      <c r="A54" s="47" t="s">
        <v>467</v>
      </c>
      <c r="B54" s="47"/>
      <c r="C54" s="47"/>
      <c r="D54" s="47"/>
      <c r="E54" s="47"/>
      <c r="F54" s="47"/>
      <c r="G54" s="47"/>
      <c r="H54" s="47"/>
      <c r="I54" s="47"/>
      <c r="J54" s="47" t="s">
        <v>472</v>
      </c>
      <c r="K54" s="47"/>
      <c r="L54" s="47"/>
      <c r="M54" s="47"/>
      <c r="N54" s="47"/>
      <c r="O54" s="47"/>
      <c r="P54" s="47"/>
      <c r="Q54" s="47"/>
      <c r="R54" s="47"/>
      <c r="S54" s="47"/>
    </row>
    <row r="55" spans="1:19" ht="18" hidden="1">
      <c r="A55" s="47" t="s">
        <v>468</v>
      </c>
      <c r="B55" s="47"/>
      <c r="C55" s="47"/>
      <c r="D55" s="47"/>
      <c r="E55" s="47"/>
      <c r="F55" s="47"/>
      <c r="G55" s="47"/>
      <c r="H55" s="47"/>
      <c r="I55" s="47"/>
      <c r="J55" s="47" t="s">
        <v>473</v>
      </c>
      <c r="K55" s="47"/>
      <c r="L55" s="47"/>
      <c r="M55" s="47"/>
      <c r="N55" s="47"/>
      <c r="O55" s="47"/>
      <c r="P55" s="47"/>
      <c r="Q55" s="47"/>
      <c r="R55" s="47"/>
      <c r="S55" s="47"/>
    </row>
    <row r="56" spans="1:19" ht="18" hidden="1">
      <c r="A56" s="355" t="s">
        <v>469</v>
      </c>
      <c r="B56" s="47"/>
      <c r="C56" s="47"/>
      <c r="D56" s="47"/>
      <c r="E56" s="47"/>
      <c r="F56" s="355" t="s">
        <v>470</v>
      </c>
      <c r="G56" s="47"/>
      <c r="H56" s="47"/>
      <c r="I56" s="47"/>
      <c r="J56" s="355" t="s">
        <v>469</v>
      </c>
      <c r="K56" s="47"/>
      <c r="L56" s="47"/>
      <c r="M56" s="47"/>
      <c r="N56" s="47"/>
      <c r="O56" s="47"/>
      <c r="P56" s="355" t="s">
        <v>474</v>
      </c>
      <c r="Q56" s="47"/>
      <c r="R56" s="47"/>
      <c r="S56" s="47"/>
    </row>
    <row r="57" spans="1:19" ht="18" hidden="1">
      <c r="A57" s="47" t="s">
        <v>600</v>
      </c>
      <c r="B57" s="47"/>
      <c r="C57" s="47"/>
      <c r="D57" s="47"/>
      <c r="E57" s="47"/>
      <c r="F57" s="47"/>
      <c r="G57" s="47"/>
      <c r="H57" s="47"/>
      <c r="I57" s="47"/>
      <c r="J57" s="47" t="s">
        <v>600</v>
      </c>
      <c r="K57" s="47"/>
      <c r="L57" s="47"/>
      <c r="M57" s="47"/>
      <c r="N57" s="47"/>
      <c r="P57" s="47"/>
      <c r="Q57" s="47"/>
      <c r="R57" s="47"/>
      <c r="S57" s="47"/>
    </row>
    <row r="58" spans="14:18" ht="15" hidden="1">
      <c r="N58" s="51"/>
      <c r="O58" s="51"/>
      <c r="P58" s="51"/>
      <c r="Q58" s="2"/>
      <c r="R58" s="2"/>
    </row>
    <row r="59" spans="14:18" ht="15" hidden="1">
      <c r="N59" s="51"/>
      <c r="O59" s="51"/>
      <c r="P59" s="51"/>
      <c r="Q59" s="2"/>
      <c r="R59" s="2"/>
    </row>
    <row r="60" spans="14:18" ht="15" hidden="1">
      <c r="N60" s="51"/>
      <c r="O60" s="51"/>
      <c r="P60" s="51"/>
      <c r="Q60" s="2"/>
      <c r="R60" s="2"/>
    </row>
    <row r="61" spans="14:18" ht="15">
      <c r="N61" s="51"/>
      <c r="O61" s="51"/>
      <c r="P61" s="51"/>
      <c r="Q61" s="2"/>
      <c r="R61" s="2"/>
    </row>
    <row r="62" spans="14:18" ht="15">
      <c r="N62" s="51"/>
      <c r="O62" s="51"/>
      <c r="P62" s="51"/>
      <c r="Q62" s="2"/>
      <c r="R62" s="2"/>
    </row>
    <row r="63" spans="14:18" ht="15">
      <c r="N63" s="51"/>
      <c r="O63" s="51"/>
      <c r="P63" s="51"/>
      <c r="Q63" s="2"/>
      <c r="R63" s="2"/>
    </row>
    <row r="64" spans="14:18" ht="15">
      <c r="N64" s="51"/>
      <c r="O64" s="51"/>
      <c r="P64" s="51"/>
      <c r="Q64" s="2"/>
      <c r="R64" s="2"/>
    </row>
    <row r="65" spans="14:18" ht="15">
      <c r="N65" s="51"/>
      <c r="O65" s="51"/>
      <c r="P65" s="51"/>
      <c r="Q65" s="2"/>
      <c r="R65" s="2"/>
    </row>
    <row r="66" spans="14:18" ht="15">
      <c r="N66" s="51"/>
      <c r="O66" s="51"/>
      <c r="P66" s="51"/>
      <c r="Q66" s="2"/>
      <c r="R66" s="2"/>
    </row>
    <row r="67" spans="14:18" ht="15">
      <c r="N67" s="51"/>
      <c r="O67" s="51"/>
      <c r="P67" s="51"/>
      <c r="Q67" s="2"/>
      <c r="R67" s="2"/>
    </row>
    <row r="68" spans="14:18" ht="15">
      <c r="N68" s="51"/>
      <c r="O68" s="51"/>
      <c r="P68" s="51"/>
      <c r="Q68" s="2"/>
      <c r="R68" s="2"/>
    </row>
    <row r="69" spans="14:18" ht="15">
      <c r="N69" s="51"/>
      <c r="O69" s="51"/>
      <c r="P69" s="51"/>
      <c r="Q69" s="2"/>
      <c r="R69" s="2"/>
    </row>
    <row r="70" spans="14:18" ht="15">
      <c r="N70" s="51"/>
      <c r="O70" s="51"/>
      <c r="P70" s="51"/>
      <c r="Q70" s="2"/>
      <c r="R70" s="2"/>
    </row>
    <row r="71" spans="14:18" ht="15">
      <c r="N71" s="51"/>
      <c r="O71" s="51"/>
      <c r="P71" s="51"/>
      <c r="Q71" s="2"/>
      <c r="R71" s="2"/>
    </row>
    <row r="72" spans="14:18" ht="15">
      <c r="N72" s="51"/>
      <c r="O72" s="51"/>
      <c r="P72" s="51"/>
      <c r="Q72" s="2"/>
      <c r="R72" s="2"/>
    </row>
    <row r="73" spans="14:18" ht="15">
      <c r="N73" s="51"/>
      <c r="O73" s="51"/>
      <c r="P73" s="51"/>
      <c r="Q73" s="2"/>
      <c r="R73" s="2"/>
    </row>
    <row r="74" spans="14:18" ht="15">
      <c r="N74" s="51"/>
      <c r="O74" s="51"/>
      <c r="P74" s="51"/>
      <c r="Q74" s="2"/>
      <c r="R74" s="2"/>
    </row>
    <row r="75" spans="14:18" ht="15">
      <c r="N75" s="51"/>
      <c r="O75" s="51"/>
      <c r="P75" s="51"/>
      <c r="Q75" s="2"/>
      <c r="R75" s="2"/>
    </row>
    <row r="76" spans="14:18" ht="15">
      <c r="N76" s="51"/>
      <c r="O76" s="51"/>
      <c r="P76" s="51"/>
      <c r="Q76" s="2"/>
      <c r="R76" s="2"/>
    </row>
    <row r="77" spans="14:18" ht="15">
      <c r="N77" s="51"/>
      <c r="O77" s="51"/>
      <c r="P77" s="51"/>
      <c r="Q77" s="2"/>
      <c r="R77" s="2"/>
    </row>
    <row r="78" spans="14:18" ht="15">
      <c r="N78" s="51"/>
      <c r="O78" s="51"/>
      <c r="P78" s="51"/>
      <c r="Q78" s="2"/>
      <c r="R78" s="2"/>
    </row>
    <row r="79" spans="14:18" ht="15">
      <c r="N79" s="51"/>
      <c r="O79" s="51"/>
      <c r="P79" s="51"/>
      <c r="Q79" s="2"/>
      <c r="R79" s="2"/>
    </row>
    <row r="80" spans="14:18" ht="15">
      <c r="N80" s="51"/>
      <c r="O80" s="51"/>
      <c r="P80" s="51"/>
      <c r="Q80" s="2"/>
      <c r="R80" s="2"/>
    </row>
    <row r="81" spans="14:18" ht="15">
      <c r="N81" s="51"/>
      <c r="O81" s="51"/>
      <c r="P81" s="51"/>
      <c r="Q81" s="2"/>
      <c r="R81" s="2"/>
    </row>
    <row r="82" spans="14:18" ht="15">
      <c r="N82" s="51"/>
      <c r="O82" s="51"/>
      <c r="P82" s="51"/>
      <c r="Q82" s="2"/>
      <c r="R82" s="2"/>
    </row>
    <row r="83" spans="14:18" ht="15">
      <c r="N83" s="51"/>
      <c r="O83" s="51"/>
      <c r="P83" s="51"/>
      <c r="Q83" s="2"/>
      <c r="R83" s="2"/>
    </row>
    <row r="84" spans="14:18" ht="15">
      <c r="N84" s="51"/>
      <c r="O84" s="51"/>
      <c r="P84" s="51"/>
      <c r="Q84" s="2"/>
      <c r="R84" s="2"/>
    </row>
    <row r="85" spans="14:18" ht="15">
      <c r="N85" s="51"/>
      <c r="O85" s="51"/>
      <c r="P85" s="51"/>
      <c r="Q85" s="2"/>
      <c r="R85" s="2"/>
    </row>
    <row r="86" spans="14:18" ht="15">
      <c r="N86" s="51"/>
      <c r="O86" s="51"/>
      <c r="P86" s="51"/>
      <c r="Q86" s="2"/>
      <c r="R86" s="2"/>
    </row>
    <row r="87" spans="14:18" ht="15">
      <c r="N87" s="51"/>
      <c r="O87" s="51"/>
      <c r="P87" s="51"/>
      <c r="Q87" s="2"/>
      <c r="R87" s="2"/>
    </row>
    <row r="88" spans="14:18" ht="15">
      <c r="N88" s="51"/>
      <c r="O88" s="51"/>
      <c r="P88" s="51"/>
      <c r="Q88" s="2"/>
      <c r="R88" s="2"/>
    </row>
    <row r="89" spans="14:18" ht="15">
      <c r="N89" s="51"/>
      <c r="O89" s="51"/>
      <c r="P89" s="51"/>
      <c r="Q89" s="2"/>
      <c r="R89" s="2"/>
    </row>
    <row r="90" spans="14:18" ht="15">
      <c r="N90" s="51"/>
      <c r="O90" s="51"/>
      <c r="P90" s="51"/>
      <c r="Q90" s="2"/>
      <c r="R90" s="2"/>
    </row>
    <row r="91" spans="14:18" ht="15">
      <c r="N91" s="51"/>
      <c r="O91" s="51"/>
      <c r="P91" s="51"/>
      <c r="Q91" s="2"/>
      <c r="R91" s="2"/>
    </row>
    <row r="92" spans="14:18" ht="15">
      <c r="N92" s="51"/>
      <c r="O92" s="51"/>
      <c r="P92" s="51"/>
      <c r="Q92" s="2"/>
      <c r="R92" s="2"/>
    </row>
    <row r="93" spans="14:18" ht="15">
      <c r="N93" s="51"/>
      <c r="O93" s="51"/>
      <c r="P93" s="51"/>
      <c r="Q93" s="2"/>
      <c r="R93" s="2"/>
    </row>
    <row r="94" spans="14:18" ht="15">
      <c r="N94" s="51"/>
      <c r="O94" s="51"/>
      <c r="P94" s="51"/>
      <c r="Q94" s="2"/>
      <c r="R94" s="2"/>
    </row>
    <row r="95" spans="14:18" ht="15">
      <c r="N95" s="51"/>
      <c r="O95" s="51"/>
      <c r="P95" s="51"/>
      <c r="Q95" s="2"/>
      <c r="R95" s="2"/>
    </row>
    <row r="96" spans="14:18" ht="15">
      <c r="N96" s="51"/>
      <c r="O96" s="51"/>
      <c r="P96" s="51"/>
      <c r="Q96" s="2"/>
      <c r="R96" s="2"/>
    </row>
    <row r="97" spans="14:18" ht="15">
      <c r="N97" s="51"/>
      <c r="O97" s="51"/>
      <c r="P97" s="51"/>
      <c r="Q97" s="2"/>
      <c r="R97" s="2"/>
    </row>
    <row r="98" spans="14:18" ht="15">
      <c r="N98" s="51"/>
      <c r="O98" s="51"/>
      <c r="P98" s="51"/>
      <c r="Q98" s="2"/>
      <c r="R98" s="2"/>
    </row>
  </sheetData>
  <sheetProtection/>
  <mergeCells count="3">
    <mergeCell ref="A29:J29"/>
    <mergeCell ref="A1:W1"/>
    <mergeCell ref="A10:X10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2022-11-02T11:03:08Z</cp:lastPrinted>
  <dcterms:created xsi:type="dcterms:W3CDTF">1996-10-08T23:32:33Z</dcterms:created>
  <dcterms:modified xsi:type="dcterms:W3CDTF">2022-11-16T08:04:24Z</dcterms:modified>
  <cp:category/>
  <cp:version/>
  <cp:contentType/>
  <cp:contentStatus/>
</cp:coreProperties>
</file>